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 firstSheet="2" activeTab="7"/>
  </bookViews>
  <sheets>
    <sheet name="Form responses" sheetId="3" r:id="rId1"/>
    <sheet name="HASIL ANALISIS NUTRISI" sheetId="4" r:id="rId2"/>
    <sheet name="training" sheetId="6" r:id="rId3"/>
    <sheet name="ANALISIS" sheetId="8" r:id="rId4"/>
    <sheet name="shapiro wilk" sheetId="9" r:id="rId5"/>
    <sheet name="skewness kurto" sheetId="10" r:id="rId6"/>
    <sheet name="Korelasi spearman" sheetId="11" r:id="rId7"/>
    <sheet name="Korelasi" sheetId="14" r:id="rId8"/>
  </sheets>
  <definedNames>
    <definedName name="_xlnm._FilterDatabase" localSheetId="0" hidden="1">'Form responses'!$A$1:$AV$42</definedName>
    <definedName name="_xlnm._FilterDatabase" localSheetId="1" hidden="1">'HASIL ANALISIS NUTRISI'!$A$1:$O$42</definedName>
    <definedName name="_xlnm._FilterDatabase" localSheetId="2" hidden="1">training!$A$1:$J$42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X20" authorId="0">
      <text>
        <r>
          <rPr>
            <sz val="10"/>
            <color rgb="FF000000"/>
            <rFont val="Arial"/>
            <scheme val="minor"/>
            <charset val="1"/>
          </rPr>
          <t>Responder updated this value.</t>
        </r>
      </text>
    </comment>
    <comment ref="AJ20" authorId="0">
      <text>
        <r>
          <rPr>
            <sz val="10"/>
            <color rgb="FF000000"/>
            <rFont val="Arial"/>
            <scheme val="minor"/>
            <charset val="1"/>
          </rPr>
          <t>Responder updated this value.</t>
        </r>
      </text>
    </comment>
    <comment ref="AQ20" authorId="0">
      <text>
        <r>
          <rPr>
            <sz val="10"/>
            <color rgb="FF000000"/>
            <rFont val="Arial"/>
            <scheme val="minor"/>
            <charset val="1"/>
          </rPr>
          <t>Responder updated this value.</t>
        </r>
      </text>
    </comment>
    <comment ref="AA26" authorId="0">
      <text>
        <r>
          <rPr>
            <sz val="10"/>
            <color rgb="FF000000"/>
            <rFont val="Arial"/>
            <scheme val="minor"/>
            <charset val="1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<sst xmlns="http://schemas.openxmlformats.org/spreadsheetml/2006/main" count="1866" uniqueCount="385">
  <si>
    <t>Nama Lengkap</t>
  </si>
  <si>
    <t>Jenis Kelamin</t>
  </si>
  <si>
    <t>usia</t>
  </si>
  <si>
    <t>Jumlah jam Latihan per minggu (contoh: 30 jam/ minggu)</t>
  </si>
  <si>
    <t>Berat badan dalam kg(contoh jawaban (55 tanpa tulis kg)</t>
  </si>
  <si>
    <t>Tinggi Badan dalam cm (contoh 163) tanpa tulis cm</t>
  </si>
  <si>
    <t>IMT</t>
  </si>
  <si>
    <t>ANALISIS IMT</t>
  </si>
  <si>
    <t>Berapa Gelas/liter air Putih yang masuk dalam sehari</t>
  </si>
  <si>
    <t>Kebutuhan Cairan (ml)</t>
  </si>
  <si>
    <t>CAIRAN</t>
  </si>
  <si>
    <t>Persentasi Energi 0-50 Sangat Kurang, 50-70 kurang, 70-100 cukup, &gt;100 lebih</t>
  </si>
  <si>
    <t>Kesimpulan cairan</t>
  </si>
  <si>
    <t>Apakah Sering mengkonsumsi Minuman manis? jus, teh manis, soda, kopi kemasan dengan gula, minuman berperasa, eskrim</t>
  </si>
  <si>
    <t>Frekuensi makan utama/hari</t>
  </si>
  <si>
    <t>kebiasaan Jenis makanan utama ? contoh jawaban : (nasi 2 centong, ayam goreng 2, sambal, sayur lodeh 1 mangkok kecil)</t>
  </si>
  <si>
    <t>Kesimpulan Energi Intake per Hari</t>
  </si>
  <si>
    <t>Kcal dari cemilan</t>
  </si>
  <si>
    <t>Total Kcal Harian</t>
  </si>
  <si>
    <t>BASAL kcal</t>
  </si>
  <si>
    <t>Berdasarkan Aktivitas Fisik kcal</t>
  </si>
  <si>
    <t>Kesimpulan Energi Berdasarkan aktivitas fisik</t>
  </si>
  <si>
    <t>Sebutkan Cemilan Kesukaan (Contoh: coklat, keripik)</t>
  </si>
  <si>
    <t>Apakah makan sayur 1 mangkok kecil(100 gram) x 3/hari</t>
  </si>
  <si>
    <t>Apakah cukup makan buah setiap hari?</t>
  </si>
  <si>
    <t>Jumlah jam tidur</t>
  </si>
  <si>
    <t>Asupan Protein Aktual</t>
  </si>
  <si>
    <t xml:space="preserve">Protein Intake perhitungan  (g) </t>
  </si>
  <si>
    <t>Kesimpulan Protein Intake</t>
  </si>
  <si>
    <t>Asupan Karbohidrat Aktual</t>
  </si>
  <si>
    <t xml:space="preserve"> Karbohidrat perhitungan  (g) </t>
  </si>
  <si>
    <t>Kesimpulan Karbo Intake</t>
  </si>
  <si>
    <t>Asupan Lemak Aktual</t>
  </si>
  <si>
    <t xml:space="preserve">Kebutuhan Lemak perhitungan  (g) </t>
  </si>
  <si>
    <t>Kesimpulan Lemak Intake</t>
  </si>
  <si>
    <t>Apakah Anda Setuju jika data ini digunakan untuk penelitian dalam mendukung kemajuan ilmu pengetahuan mengenai Gizi dan olahraga?</t>
  </si>
  <si>
    <t>Alexandra Sherine Puspitaningtyas</t>
  </si>
  <si>
    <t>Perempuan/ Female</t>
  </si>
  <si>
    <t>20 jam / minggu</t>
  </si>
  <si>
    <t>Overweight</t>
  </si>
  <si>
    <t>Satu liter</t>
  </si>
  <si>
    <t>Sangat Kurang</t>
  </si>
  <si>
    <t>ya setiap hari (1-2)</t>
  </si>
  <si>
    <t>Tiga centong nasi, telur goreng, tempe goreng, terong goreng, sambal</t>
  </si>
  <si>
    <t>Lebih</t>
  </si>
  <si>
    <t>Chitato</t>
  </si>
  <si>
    <t>tidak</t>
  </si>
  <si>
    <t>tidak/ jarang (1-2 minggu sekali)</t>
  </si>
  <si>
    <t>6 jam</t>
  </si>
  <si>
    <t>Cukup</t>
  </si>
  <si>
    <t>ya</t>
  </si>
  <si>
    <t>Alfito Thifano Suoth</t>
  </si>
  <si>
    <t>Laki-laki /Man</t>
  </si>
  <si>
    <t>20 jam/minggu</t>
  </si>
  <si>
    <t>Ideal BW</t>
  </si>
  <si>
    <t>1-2 liter</t>
  </si>
  <si>
    <t>jarang (seminggu 2-3 kali)</t>
  </si>
  <si>
    <t>Nasi 1 centong, telur dadar 1, sayur kangkung 2 sendok</t>
  </si>
  <si>
    <t>Kurang</t>
  </si>
  <si>
    <t>Permen kacang, cokelat</t>
  </si>
  <si>
    <t>6-7 jam</t>
  </si>
  <si>
    <t xml:space="preserve">Apolinaris Eko </t>
  </si>
  <si>
    <t>4 jam</t>
  </si>
  <si>
    <t>Obesity</t>
  </si>
  <si>
    <t>3 liter</t>
  </si>
  <si>
    <t>Nasi 1 centong 2 lauk (ayam goreng dan tahu atau tempe goreng) sayur 1</t>
  </si>
  <si>
    <t>Keripik</t>
  </si>
  <si>
    <t>Aurelia Greta Putri Redwina</t>
  </si>
  <si>
    <t>Kurang lebih 20 jam</t>
  </si>
  <si>
    <t>1.2 liter</t>
  </si>
  <si>
    <t>nasi 1 centong, ayam 1, banyak sayur</t>
  </si>
  <si>
    <t>coklat, permen</t>
  </si>
  <si>
    <t>ya (2-3 kali/hari)</t>
  </si>
  <si>
    <t>5-6 jam</t>
  </si>
  <si>
    <t>B. Jacinta Amara S.</t>
  </si>
  <si>
    <t>15 jam/ minggu</t>
  </si>
  <si>
    <t>600 ml</t>
  </si>
  <si>
    <t>3 hingga 5 jam</t>
  </si>
  <si>
    <t xml:space="preserve">Beniditto Eka Viyantyo </t>
  </si>
  <si>
    <t>23 jam/ minggu</t>
  </si>
  <si>
    <t>2 liter</t>
  </si>
  <si>
    <t>Nasi ayam 1 porsi, kwiteau seafood</t>
  </si>
  <si>
    <t xml:space="preserve">Stick balado </t>
  </si>
  <si>
    <t>Birgitta Laurensia Lintang N.P</t>
  </si>
  <si>
    <t>Underweigt</t>
  </si>
  <si>
    <t>1,7 liter</t>
  </si>
  <si>
    <t>lebih</t>
  </si>
  <si>
    <t>Nasi 2 centong, kering tempe 1 sendok makan, telur ceplok/dadar</t>
  </si>
  <si>
    <t>Coklat,susu</t>
  </si>
  <si>
    <t>6-7</t>
  </si>
  <si>
    <t>Cerrin Louriensia</t>
  </si>
  <si>
    <t>-</t>
  </si>
  <si>
    <t>±2/1L</t>
  </si>
  <si>
    <t>Nasi 2 centong, ayam bakar/goreng, sambal</t>
  </si>
  <si>
    <t>3-5 jam/hari</t>
  </si>
  <si>
    <t>Chelsea Galuh Setyaratri</t>
  </si>
  <si>
    <t>nasi 1 centong, ayam 1, sayur, tahu 2</t>
  </si>
  <si>
    <t>coklat</t>
  </si>
  <si>
    <t>7 jam</t>
  </si>
  <si>
    <t>nasi 1 centong, ayam 1, sayur, tahu</t>
  </si>
  <si>
    <t>Edmond Sorensen</t>
  </si>
  <si>
    <t>1.5 liter</t>
  </si>
  <si>
    <t xml:space="preserve">nasi 2 centong, ayam 1, sayur </t>
  </si>
  <si>
    <t>El Shaddai Diva Edgian</t>
  </si>
  <si>
    <t>Kurang dari 1 liter</t>
  </si>
  <si>
    <t>Nasi, sayur, ayam</t>
  </si>
  <si>
    <t>5-7 jam</t>
  </si>
  <si>
    <t>Nasi 1 centong, sayur 1/2 mangkok, ayam 1</t>
  </si>
  <si>
    <t xml:space="preserve">Ester Desty Samosir </t>
  </si>
  <si>
    <t>kurang lebih 25 jam an / minggu</t>
  </si>
  <si>
    <t>kurang lebih 2 liter</t>
  </si>
  <si>
    <t>cukup</t>
  </si>
  <si>
    <t>nasi 1,5 centong, ayam 1 potong atau telur  1 butir, sayur 2 sendok makan</t>
  </si>
  <si>
    <t>Bakpau, keripik, corndog, cokelat, kue"</t>
  </si>
  <si>
    <t>5-7 jam (malam) 1 jam (siang) jarang banget</t>
  </si>
  <si>
    <t>Ferdie Christian Tanardi</t>
  </si>
  <si>
    <t>20-25/minggu</t>
  </si>
  <si>
    <t>Normal</t>
  </si>
  <si>
    <t>Nasi goreng magelangan + telur setengah mateng</t>
  </si>
  <si>
    <t xml:space="preserve">Tidak ada (jarang makan) </t>
  </si>
  <si>
    <t>5-8</t>
  </si>
  <si>
    <t>Gabriele Louise Kaseger</t>
  </si>
  <si>
    <t>29 jam/minggu ᕕ( ՞ ᗜ ՞ )ᕗ</t>
  </si>
  <si>
    <t>2,4 liter air putih</t>
  </si>
  <si>
    <t>Nasi 1/4 centong, Mie 1 1/2 bungkus. 
Kalo ama sayur Nasi Nasi 1 1/2, Sayur
♡´･ᴗ･`♡</t>
  </si>
  <si>
    <t>(✪ω✪)/ Chocolate and Chips</t>
  </si>
  <si>
    <t>4-5 jam ᕕ( ཀ ʖ̯ ཀ)ᕗ</t>
  </si>
  <si>
    <t>Giovanni Isaak Temaluru</t>
  </si>
  <si>
    <t>21 Jam/ Minggu</t>
  </si>
  <si>
    <t>3 Liter</t>
  </si>
  <si>
    <t>Nasi 1 centong Telur Dadar + sambal + sayur + mie</t>
  </si>
  <si>
    <t>Ice Cream</t>
  </si>
  <si>
    <t>6-7 Jam</t>
  </si>
  <si>
    <t xml:space="preserve">Indriyanti Raya Pata </t>
  </si>
  <si>
    <t xml:space="preserve">1 liter lebih </t>
  </si>
  <si>
    <t>Nasi 1 centong, sayur 2 sendok lebih, telur 1 butir/ tempe/ tahu</t>
  </si>
  <si>
    <t>Roti dan keripik</t>
  </si>
  <si>
    <t>4-5 jam per hari</t>
  </si>
  <si>
    <t>Jericho Alfonzo Khu</t>
  </si>
  <si>
    <t>nasi 1 centong, ayam 1, sayur, tempe 2</t>
  </si>
  <si>
    <t>Jesica Viona Purba</t>
  </si>
  <si>
    <t xml:space="preserve">1,2 liter </t>
  </si>
  <si>
    <t>kurang</t>
  </si>
  <si>
    <t>nasi satu centong, ayam goreng 1, sayur sop wortel brokoli 1 mangkok kecil, sambal, bakwan/tempe 1.</t>
  </si>
  <si>
    <t>Biskuit, keripik, puding</t>
  </si>
  <si>
    <t>5/6 jam</t>
  </si>
  <si>
    <t xml:space="preserve">Jhonatan Emanuel Wangge </t>
  </si>
  <si>
    <t>Sekitar 20-23 jam/minggu</t>
  </si>
  <si>
    <t>2 - 3 liter</t>
  </si>
  <si>
    <t>Nasi 1,5 centong ayam / telur</t>
  </si>
  <si>
    <t>Biskuit coklat</t>
  </si>
  <si>
    <t>7-9 jam</t>
  </si>
  <si>
    <t>Lisa Aprilia</t>
  </si>
  <si>
    <t>1 liter</t>
  </si>
  <si>
    <t xml:space="preserve">Nasi, ayam goreng, sambal, lalapan </t>
  </si>
  <si>
    <t>Coklat, jasuke, risol mayo, bakso tusuk</t>
  </si>
  <si>
    <t xml:space="preserve">Nasi 1 entong, ayam goreng 1, sambal, lalapan </t>
  </si>
  <si>
    <t>Livenus Banir Kampas Basagi</t>
  </si>
  <si>
    <t>21 jam</t>
  </si>
  <si>
    <t>Nasi 2 centong, ayam goreng 1, sayur lodeh 2 sendok</t>
  </si>
  <si>
    <t>Coklat</t>
  </si>
  <si>
    <t>4-5 jam</t>
  </si>
  <si>
    <t>Marcella Dhe Harin Kusumaningsih</t>
  </si>
  <si>
    <t xml:space="preserve">Marcella Tyas Angelica </t>
  </si>
  <si>
    <t>12-24 jam/minggu</t>
  </si>
  <si>
    <t>3 gelas</t>
  </si>
  <si>
    <t>Nasi 2 centong,ayam 1,sayur sop mangkuk kecil</t>
  </si>
  <si>
    <t>Pisang goreng,piscok,tempe goreng</t>
  </si>
  <si>
    <t>5-8 jam</t>
  </si>
  <si>
    <t xml:space="preserve">Margaretha Marina Eka Puteri Sijabat </t>
  </si>
  <si>
    <t>8 jam</t>
  </si>
  <si>
    <t xml:space="preserve">Maria Yosefani Rezeki Sambut </t>
  </si>
  <si>
    <t>25 jam/minggu</t>
  </si>
  <si>
    <t>2 liter/perhari</t>
  </si>
  <si>
    <t>Nasi 2 centong, sayur 1 mangkok kecil, ayam goreng 1</t>
  </si>
  <si>
    <t>Cokelat, cake, keripik singkong, martabak, pisang goreng wafer</t>
  </si>
  <si>
    <t>Melvania Nashabilla Kasih Hartoko</t>
  </si>
  <si>
    <t>19 jam</t>
  </si>
  <si>
    <t>1,5 liter</t>
  </si>
  <si>
    <t>nasi 1 porsi sama ayam 1</t>
  </si>
  <si>
    <t>coklat, snack micin, sempol, cilor, cireng</t>
  </si>
  <si>
    <t>4-5 jam kalo kelas lagi, 6-7 jam kalo kelas sesi 2</t>
  </si>
  <si>
    <t>nasi 1.5 porsi sama ayam 1</t>
  </si>
  <si>
    <t>Muhammad Surya Bayu Miftah</t>
  </si>
  <si>
    <t>Nagita Larasati Putri</t>
  </si>
  <si>
    <t>kurang lebih 20 jam per minggu</t>
  </si>
  <si>
    <t>nasi 1 centong ayam goreng</t>
  </si>
  <si>
    <t>coklat, risol, piscok</t>
  </si>
  <si>
    <t>kurang lebih 6-7 jam</t>
  </si>
  <si>
    <t>Nicolaus Kevin Boro</t>
  </si>
  <si>
    <t>20 jam lebih</t>
  </si>
  <si>
    <t>Lebih dari 3 liter</t>
  </si>
  <si>
    <t>Nasi setinggi gunung walaupun lauk dikit, harus ada sayur</t>
  </si>
  <si>
    <t>Kue kering dari teman pas lebaran</t>
  </si>
  <si>
    <t>6 jam kadang kurang</t>
  </si>
  <si>
    <t>Nicolaus Suwardi</t>
  </si>
  <si>
    <t>20–23 jam/minggu</t>
  </si>
  <si>
    <t>1L</t>
  </si>
  <si>
    <t>Nasi 2,5 centong, ayam goreng (paha) 1/ikan 1, sambal, sayur bening 1 mangkok sedang, mendoan/bakwan</t>
  </si>
  <si>
    <t>Maitos</t>
  </si>
  <si>
    <t>4–6 jam/hari</t>
  </si>
  <si>
    <t>Maltos</t>
  </si>
  <si>
    <t>Putri Juwita</t>
  </si>
  <si>
    <t>20 jam</t>
  </si>
  <si>
    <t>Nasi 1 centong, ayam goreng, sambal</t>
  </si>
  <si>
    <t>Permen</t>
  </si>
  <si>
    <t>4-6 jam</t>
  </si>
  <si>
    <t>Rakha Indrasta Firjatullah</t>
  </si>
  <si>
    <t>Salsabilatul Arijah</t>
  </si>
  <si>
    <t>1 ½ L</t>
  </si>
  <si>
    <t>Nasi 1,5 centong dan ayam 1</t>
  </si>
  <si>
    <t>5 jam</t>
  </si>
  <si>
    <t xml:space="preserve">Sandrica Catherine Jingga </t>
  </si>
  <si>
    <t>Borderline Maintain BW</t>
  </si>
  <si>
    <t>Nasi 1.5 centong, ayam/ikan 1, sayur sedikit</t>
  </si>
  <si>
    <t>Wafer</t>
  </si>
  <si>
    <t>Shanty Hendro</t>
  </si>
  <si>
    <t>25 jam</t>
  </si>
  <si>
    <t>kurang dari 2 liter</t>
  </si>
  <si>
    <t>nasi 2 centong, daging 1, tumis sayur, oseng tempe</t>
  </si>
  <si>
    <t>coklat, biskuit, es krim, buah (jarang)</t>
  </si>
  <si>
    <t>Stefani Vaneisya Maharani</t>
  </si>
  <si>
    <t>2-3 L (8 gelas/hari)</t>
  </si>
  <si>
    <t xml:space="preserve">nasi satu setengah centong, lauknya bervariasi (telur, ayam, tahu, tempe) </t>
  </si>
  <si>
    <t>chiki</t>
  </si>
  <si>
    <t xml:space="preserve">Waila sofia </t>
  </si>
  <si>
    <t>Tidak tahu</t>
  </si>
  <si>
    <t>Underweigt/ KEK</t>
  </si>
  <si>
    <t xml:space="preserve"> 10 gelas</t>
  </si>
  <si>
    <t>Nasi 1 Centong ayam 1</t>
  </si>
  <si>
    <t>Kripik</t>
  </si>
  <si>
    <t>7jam</t>
  </si>
  <si>
    <t>Wihelmia Pradipta Mahanani</t>
  </si>
  <si>
    <t>Nasi 2 centong, lauk 1/2, sayur 1 mangkok kecil</t>
  </si>
  <si>
    <t>Roti, Snack, jajanan pasar</t>
  </si>
  <si>
    <t>Wilhelmina Fernanda Deanna Deanna Bella</t>
  </si>
  <si>
    <t>Yogi Bresi Ginting</t>
  </si>
  <si>
    <t>Nasi 2 centong, lauknya kadang ikan, ayam, telur, sayur banyak</t>
  </si>
  <si>
    <t>Wafer selamat</t>
  </si>
  <si>
    <t>Yulia Natkime</t>
  </si>
  <si>
    <t>1-1,5 lt</t>
  </si>
  <si>
    <t>Nasi, Ayam, tempe, sambal</t>
  </si>
  <si>
    <t>coklat, keripik</t>
  </si>
  <si>
    <t>Nasi 1 centong, Ayam1, tempe 2, sambal</t>
  </si>
  <si>
    <t>Karbohidrat/ Nasi</t>
  </si>
  <si>
    <t>Protein</t>
  </si>
  <si>
    <t>Sayur</t>
  </si>
  <si>
    <t>Buah-buahan</t>
  </si>
  <si>
    <t>score imt</t>
  </si>
  <si>
    <t>Kesimpulan Konsumsi Minuman manis</t>
  </si>
  <si>
    <t>jarang</t>
  </si>
  <si>
    <t>Bernadeth Jacinta Amara S.</t>
  </si>
  <si>
    <t>obesity</t>
  </si>
  <si>
    <t>e66.9</t>
  </si>
  <si>
    <t>underweight</t>
  </si>
  <si>
    <t>r62.8</t>
  </si>
  <si>
    <t>Sering</t>
  </si>
  <si>
    <t>Usia (20)</t>
  </si>
  <si>
    <t>Berapa km yang anda dapatkan setelah lari 12 menit (jawaban contoh: 2 km)</t>
  </si>
  <si>
    <t>METS</t>
  </si>
  <si>
    <t>VO2 MaX</t>
  </si>
  <si>
    <t>Population Age</t>
  </si>
  <si>
    <t>Score</t>
  </si>
  <si>
    <t>Rating</t>
  </si>
  <si>
    <t>rate</t>
  </si>
  <si>
    <t>perempuan</t>
  </si>
  <si>
    <t>2 km</t>
  </si>
  <si>
    <t>fair</t>
  </si>
  <si>
    <t>Laki-laki</t>
  </si>
  <si>
    <t>1,6 km</t>
  </si>
  <si>
    <t>poor</t>
  </si>
  <si>
    <t>2 KM</t>
  </si>
  <si>
    <t xml:space="preserve">Aurelia Greta Putri Redwina </t>
  </si>
  <si>
    <t>Perempuan</t>
  </si>
  <si>
    <t>1.04 km</t>
  </si>
  <si>
    <t>Beniditto Eka Viyantyo</t>
  </si>
  <si>
    <t>1 km</t>
  </si>
  <si>
    <t>1.6 km</t>
  </si>
  <si>
    <t xml:space="preserve">1.2 km </t>
  </si>
  <si>
    <t>±2km</t>
  </si>
  <si>
    <t>Fair</t>
  </si>
  <si>
    <t>1,5 km</t>
  </si>
  <si>
    <t>1.9 km</t>
  </si>
  <si>
    <t>1,4km</t>
  </si>
  <si>
    <t>1,2 km</t>
  </si>
  <si>
    <t>1.25 km</t>
  </si>
  <si>
    <t>1.33 km</t>
  </si>
  <si>
    <t>1.4 km</t>
  </si>
  <si>
    <t>1.7 km</t>
  </si>
  <si>
    <t>1,7km</t>
  </si>
  <si>
    <t>Marcella Dhea Harin Kusumaningsih</t>
  </si>
  <si>
    <t>1,3 km</t>
  </si>
  <si>
    <t>1.3 km</t>
  </si>
  <si>
    <t>1,26 km</t>
  </si>
  <si>
    <t>1,39 km</t>
  </si>
  <si>
    <t xml:space="preserve">Muhammad Surya Bayu Miftah </t>
  </si>
  <si>
    <t>1,9km</t>
  </si>
  <si>
    <t>Nagita Larasati</t>
  </si>
  <si>
    <t>1,1 km</t>
  </si>
  <si>
    <t>2.3 km</t>
  </si>
  <si>
    <t>11.4</t>
  </si>
  <si>
    <t>40.1</t>
  </si>
  <si>
    <t>3,5 km</t>
  </si>
  <si>
    <t>Excellent</t>
  </si>
  <si>
    <t>Sandrica Catherine Jingga</t>
  </si>
  <si>
    <t>1,5km</t>
  </si>
  <si>
    <t>1,7 km</t>
  </si>
  <si>
    <t>Wilhelmina Fernanda Deanna Bella</t>
  </si>
  <si>
    <t>45.7</t>
  </si>
  <si>
    <t>very poor</t>
  </si>
  <si>
    <t>no</t>
  </si>
  <si>
    <t>fitness</t>
  </si>
  <si>
    <t>Tests of Normality</t>
  </si>
  <si>
    <t/>
  </si>
  <si>
    <t>Lilliefors</t>
  </si>
  <si>
    <t>Shapiro-Wilk</t>
  </si>
  <si>
    <t>Statistic</t>
  </si>
  <si>
    <t>df</t>
  </si>
  <si>
    <t>Sig.</t>
  </si>
  <si>
    <r>
      <rPr>
        <sz val="9"/>
        <color indexed="60"/>
        <rFont val="Arial"/>
        <charset val="134"/>
      </rPr>
      <t>.200</t>
    </r>
    <r>
      <rPr>
        <vertAlign val="superscript"/>
        <sz val="9"/>
        <color indexed="60"/>
        <rFont val="Arial"/>
        <charset val="134"/>
      </rPr>
      <t>*</t>
    </r>
  </si>
  <si>
    <t>Cairan</t>
  </si>
  <si>
    <t>Karbo</t>
  </si>
  <si>
    <t>Lemak</t>
  </si>
  <si>
    <t>Energi</t>
  </si>
  <si>
    <t>Fitness</t>
  </si>
  <si>
    <t>*. This is a lower bound of the true significance.</t>
  </si>
  <si>
    <t>a. Lilliefors Significance Correction</t>
  </si>
  <si>
    <t>Liliefors</t>
  </si>
  <si>
    <t>Berdasarkan hasil Uji liliefors, sig 0,2&gt;Alpha (0,05) maka data normal</t>
  </si>
  <si>
    <t>Berdasarkan hasil Uji liliefors, sig 0,002&lt;Alpha (0,05) maka data tidak normal</t>
  </si>
  <si>
    <t>Berdasarkan hasil Uji liliefors, sig 0,143&gt;Alpha (0,05) maka data normal</t>
  </si>
  <si>
    <t>Berdasarkan hasil Uji liliefors, sig 0,073&gt;Alpha (0,05) maka data normal</t>
  </si>
  <si>
    <t>Berdasarkan hasil Uji liliefors, sig 0,006&lt;Alpha (0,05) maka data tidak normal</t>
  </si>
  <si>
    <t>Berdasarkan hasil Uji liliefors, sig 0,000&lt;Alpha (0,05) maka data tidak normal</t>
  </si>
  <si>
    <t>Shapiro Wilk</t>
  </si>
  <si>
    <t>Berdasarkan hasil uji shapiro wilk sig 0,135&gt;Alpha (0,05) maka data normal</t>
  </si>
  <si>
    <t>Berdasarkan hasil uji shapiro wilk sig 0,024&lt;Alpha (0,05) maka data tidak normal</t>
  </si>
  <si>
    <t>Berdasarkan hasil uji shapiro wilk sig 0,947&gt;Alpha (0,05) maka data normal</t>
  </si>
  <si>
    <t>Berdasarkan hasil uji shapiro wilk sig 0,013&lt;Alpha (0,05) maka data tidak normal</t>
  </si>
  <si>
    <t>Berdasarkan hasil uji shapiro wilk sig 0,088&gt;Alpha (0,05) maka data normal</t>
  </si>
  <si>
    <t>Berdasarkan hasil uji shapiro wilk sig 0,007&lt;Alpha (0,05) maka data tidak normal</t>
  </si>
  <si>
    <t>Berdasarkan hasil uji shapiro wilk sig 0,000&lt;Alpha (0,05) maka data tidak normal</t>
  </si>
  <si>
    <t>Kesimpulan</t>
  </si>
  <si>
    <t>Variabel yang memiliki data distribusi normal adalah</t>
  </si>
  <si>
    <t>Statistics</t>
  </si>
  <si>
    <t>N</t>
  </si>
  <si>
    <t>Valid</t>
  </si>
  <si>
    <t>Missing</t>
  </si>
  <si>
    <t>Skewness</t>
  </si>
  <si>
    <t>Std. Error of Skewness</t>
  </si>
  <si>
    <t>Kurtosis</t>
  </si>
  <si>
    <t>Std. Error of Kurtosis</t>
  </si>
  <si>
    <t>Rasio Skewness</t>
  </si>
  <si>
    <t>Rasio Kurtosis</t>
  </si>
  <si>
    <t>Antara -2 dan +2</t>
  </si>
  <si>
    <t>Berdasarkan Uji Skewness dan Kurtosis</t>
  </si>
  <si>
    <t>Data Motivasi belajar berdistribusi tidak normal</t>
  </si>
  <si>
    <t>Data Motivasi belajar berdistribusi normal</t>
  </si>
  <si>
    <t>Correlations</t>
  </si>
  <si>
    <t>Spearman's rho</t>
  </si>
  <si>
    <t>Correlation Coefficient</t>
  </si>
  <si>
    <r>
      <rPr>
        <sz val="9"/>
        <color indexed="60"/>
        <rFont val="Arial"/>
        <charset val="134"/>
      </rPr>
      <t>.307</t>
    </r>
    <r>
      <rPr>
        <vertAlign val="superscript"/>
        <sz val="9"/>
        <color indexed="60"/>
        <rFont val="Arial"/>
        <charset val="134"/>
      </rPr>
      <t>*</t>
    </r>
  </si>
  <si>
    <r>
      <rPr>
        <sz val="9"/>
        <color indexed="60"/>
        <rFont val="Arial"/>
        <charset val="134"/>
      </rPr>
      <t>-.265</t>
    </r>
    <r>
      <rPr>
        <vertAlign val="superscript"/>
        <sz val="9"/>
        <color indexed="60"/>
        <rFont val="Arial"/>
        <charset val="134"/>
      </rPr>
      <t>*</t>
    </r>
  </si>
  <si>
    <t>Bedasarkan uji korelasi spearman korelasi antara variabel IMT dan cooper test adalah negatif dan signifikan</t>
  </si>
  <si>
    <t>Sig. (1-tailed)</t>
  </si>
  <si>
    <r>
      <rPr>
        <sz val="9"/>
        <color indexed="60"/>
        <rFont val="Arial"/>
        <charset val="134"/>
      </rPr>
      <t>.502</t>
    </r>
    <r>
      <rPr>
        <vertAlign val="superscript"/>
        <sz val="9"/>
        <color indexed="60"/>
        <rFont val="Arial"/>
        <charset val="134"/>
      </rPr>
      <t>**</t>
    </r>
  </si>
  <si>
    <r>
      <rPr>
        <sz val="9"/>
        <color indexed="60"/>
        <rFont val="Arial"/>
        <charset val="134"/>
      </rPr>
      <t>.288</t>
    </r>
    <r>
      <rPr>
        <vertAlign val="superscript"/>
        <sz val="9"/>
        <color indexed="60"/>
        <rFont val="Arial"/>
        <charset val="134"/>
      </rPr>
      <t>*</t>
    </r>
  </si>
  <si>
    <r>
      <rPr>
        <sz val="9"/>
        <color indexed="60"/>
        <rFont val="Arial"/>
        <charset val="134"/>
      </rPr>
      <t>.526</t>
    </r>
    <r>
      <rPr>
        <vertAlign val="superscript"/>
        <sz val="9"/>
        <color indexed="60"/>
        <rFont val="Arial"/>
        <charset val="134"/>
      </rPr>
      <t>**</t>
    </r>
  </si>
  <si>
    <t>Bedasarkan uji korelasi spearman korelasi antara variabel Karbo dan cooper test adalah positif</t>
  </si>
  <si>
    <r>
      <rPr>
        <sz val="9"/>
        <color indexed="60"/>
        <rFont val="Arial"/>
        <charset val="134"/>
      </rPr>
      <t>-.406</t>
    </r>
    <r>
      <rPr>
        <vertAlign val="superscript"/>
        <sz val="9"/>
        <color indexed="60"/>
        <rFont val="Arial"/>
        <charset val="134"/>
      </rPr>
      <t>**</t>
    </r>
  </si>
  <si>
    <r>
      <rPr>
        <sz val="9"/>
        <color indexed="60"/>
        <rFont val="Arial"/>
        <charset val="134"/>
      </rPr>
      <t>.495</t>
    </r>
    <r>
      <rPr>
        <vertAlign val="superscript"/>
        <sz val="9"/>
        <color indexed="60"/>
        <rFont val="Arial"/>
        <charset val="134"/>
      </rPr>
      <t>**</t>
    </r>
  </si>
  <si>
    <t>Bedasarkan uji korelasi spearman korelasi antara variabel lemak dan cooper test adalah positif</t>
  </si>
  <si>
    <t>Bedasarkan uji korelasi spearman korelasi antara variabel cairan dan cooper test adalah positif</t>
  </si>
  <si>
    <r>
      <rPr>
        <sz val="9"/>
        <color indexed="60"/>
        <rFont val="Arial"/>
        <charset val="134"/>
      </rPr>
      <t>.659</t>
    </r>
    <r>
      <rPr>
        <vertAlign val="superscript"/>
        <sz val="9"/>
        <color indexed="60"/>
        <rFont val="Arial"/>
        <charset val="134"/>
      </rPr>
      <t>**</t>
    </r>
  </si>
  <si>
    <r>
      <rPr>
        <sz val="9"/>
        <color indexed="60"/>
        <rFont val="Arial"/>
        <charset val="134"/>
      </rPr>
      <t>.287</t>
    </r>
    <r>
      <rPr>
        <vertAlign val="superscript"/>
        <sz val="9"/>
        <color indexed="60"/>
        <rFont val="Arial"/>
        <charset val="134"/>
      </rPr>
      <t>*</t>
    </r>
  </si>
  <si>
    <t>Bedasarkan uji korelasi spearman korelasi antara variabel cairan dan cooper test adalah positif dan signifikan</t>
  </si>
  <si>
    <t>Bedasarkan uji korelasi spearman korelasi variabel energi dan cooper test adalah positif</t>
  </si>
  <si>
    <t>*. Correlation is significant at the 0.05 level (1-tailed).</t>
  </si>
  <si>
    <t>**. Correlation is significant at the 0.01 level (1-tailed).</t>
  </si>
  <si>
    <t>Corelation</t>
  </si>
  <si>
    <t>Fitness Test</t>
  </si>
  <si>
    <t>Carb</t>
  </si>
  <si>
    <t>Fats</t>
  </si>
  <si>
    <t>Hydration</t>
  </si>
  <si>
    <t>Energy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</si>
</sst>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  <numFmt numFmtId="178" formatCode="###0.000"/>
    <numFmt numFmtId="179" formatCode="#,##0.000"/>
    <numFmt numFmtId="180" formatCode="###0"/>
  </numFmts>
  <fonts count="36">
    <font>
      <sz val="10"/>
      <color rgb="FF000000"/>
      <name val="Arial"/>
      <charset val="134"/>
      <scheme val="minor"/>
    </font>
    <font>
      <sz val="10"/>
      <color rgb="FF000000"/>
      <name val="Arial"/>
      <charset val="134"/>
      <scheme val="minor"/>
    </font>
    <font>
      <sz val="9"/>
      <color indexed="62"/>
      <name val="Arial"/>
      <charset val="134"/>
    </font>
    <font>
      <sz val="9"/>
      <color indexed="60"/>
      <name val="Arial"/>
      <charset val="134"/>
    </font>
    <font>
      <sz val="10"/>
      <name val="Arial"/>
      <charset val="134"/>
    </font>
    <font>
      <b/>
      <sz val="11"/>
      <color indexed="60"/>
      <name val="Arial Bold"/>
      <charset val="134"/>
    </font>
    <font>
      <b/>
      <sz val="10"/>
      <color rgb="FF000000"/>
      <name val="Arial"/>
      <charset val="134"/>
      <scheme val="minor"/>
    </font>
    <font>
      <sz val="12"/>
      <color indexed="60"/>
      <name val="Arial"/>
      <charset val="134"/>
    </font>
    <font>
      <sz val="12"/>
      <color rgb="FF000000"/>
      <name val="Arial"/>
      <charset val="134"/>
      <scheme val="minor"/>
    </font>
    <font>
      <b/>
      <sz val="10"/>
      <color rgb="FF000000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2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vertAlign val="superscript"/>
      <sz val="9"/>
      <color indexed="60"/>
      <name val="Arial"/>
      <charset val="134"/>
    </font>
    <font>
      <sz val="10"/>
      <color rgb="FF000000"/>
      <name val="Arial"/>
      <charset val="1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51170384838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B6D7A8"/>
        <bgColor rgb="FFB6D7A8"/>
      </patternFill>
    </fill>
    <fill>
      <patternFill patternType="solid">
        <fgColor theme="7" tint="0.599993896298105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rgb="FFDD7E6B"/>
      </patternFill>
    </fill>
    <fill>
      <patternFill patternType="solid">
        <fgColor theme="6" tint="0.599993896298105"/>
        <bgColor rgb="FFDD7E6B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rgb="FFFFFF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E599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16" fillId="21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4" fillId="0" borderId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8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5" fillId="29" borderId="31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7" borderId="28" applyNumberFormat="0" applyAlignment="0" applyProtection="0">
      <alignment vertical="center"/>
    </xf>
    <xf numFmtId="0" fontId="4" fillId="0" borderId="0"/>
    <xf numFmtId="0" fontId="17" fillId="3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30" fillId="22" borderId="28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" fillId="0" borderId="0"/>
    <xf numFmtId="0" fontId="16" fillId="4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4" fillId="0" borderId="0"/>
    <xf numFmtId="0" fontId="16" fillId="1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</cellStyleXfs>
  <cellXfs count="141">
    <xf numFmtId="0" fontId="0" fillId="0" borderId="0" xfId="0"/>
    <xf numFmtId="0" fontId="1" fillId="0" borderId="0" xfId="0" applyFont="1"/>
    <xf numFmtId="0" fontId="2" fillId="0" borderId="1" xfId="4" applyFont="1" applyBorder="1" applyAlignment="1">
      <alignment horizontal="center" wrapText="1"/>
    </xf>
    <xf numFmtId="0" fontId="2" fillId="2" borderId="2" xfId="4" applyFont="1" applyFill="1" applyBorder="1" applyAlignment="1">
      <alignment horizontal="left" vertical="top" wrapText="1"/>
    </xf>
    <xf numFmtId="179" fontId="3" fillId="0" borderId="3" xfId="4" applyNumberFormat="1" applyFont="1" applyBorder="1" applyAlignment="1">
      <alignment horizontal="right" vertical="top"/>
    </xf>
    <xf numFmtId="0" fontId="2" fillId="2" borderId="4" xfId="4" applyFont="1" applyFill="1" applyBorder="1" applyAlignment="1">
      <alignment horizontal="left" vertical="top" wrapText="1"/>
    </xf>
    <xf numFmtId="179" fontId="3" fillId="0" borderId="5" xfId="4" applyNumberFormat="1" applyFont="1" applyBorder="1" applyAlignment="1">
      <alignment horizontal="right" vertical="top"/>
    </xf>
    <xf numFmtId="0" fontId="4" fillId="0" borderId="0" xfId="4"/>
    <xf numFmtId="0" fontId="5" fillId="0" borderId="0" xfId="4" applyFont="1" applyAlignment="1">
      <alignment horizontal="center" vertical="center" wrapText="1"/>
    </xf>
    <xf numFmtId="0" fontId="2" fillId="0" borderId="6" xfId="4" applyFont="1" applyBorder="1" applyAlignment="1">
      <alignment horizontal="left" wrapText="1"/>
    </xf>
    <xf numFmtId="0" fontId="2" fillId="0" borderId="7" xfId="4" applyFont="1" applyBorder="1" applyAlignment="1">
      <alignment horizontal="center" wrapText="1"/>
    </xf>
    <xf numFmtId="0" fontId="2" fillId="0" borderId="8" xfId="4" applyFont="1" applyBorder="1" applyAlignment="1">
      <alignment horizontal="center" wrapText="1"/>
    </xf>
    <xf numFmtId="0" fontId="2" fillId="2" borderId="9" xfId="4" applyFont="1" applyFill="1" applyBorder="1" applyAlignment="1">
      <alignment horizontal="left" vertical="top" wrapText="1"/>
    </xf>
    <xf numFmtId="178" fontId="3" fillId="0" borderId="10" xfId="4" applyNumberFormat="1" applyFont="1" applyBorder="1" applyAlignment="1">
      <alignment horizontal="right" vertical="top"/>
    </xf>
    <xf numFmtId="178" fontId="3" fillId="0" borderId="11" xfId="4" applyNumberFormat="1" applyFont="1" applyBorder="1" applyAlignment="1">
      <alignment horizontal="right" vertical="top"/>
    </xf>
    <xf numFmtId="0" fontId="2" fillId="2" borderId="12" xfId="4" applyFont="1" applyFill="1" applyBorder="1" applyAlignment="1">
      <alignment horizontal="left" vertical="top" wrapText="1"/>
    </xf>
    <xf numFmtId="0" fontId="3" fillId="0" borderId="13" xfId="4" applyFont="1" applyBorder="1" applyAlignment="1">
      <alignment horizontal="right" vertical="top"/>
    </xf>
    <xf numFmtId="178" fontId="3" fillId="0" borderId="14" xfId="4" applyNumberFormat="1" applyFont="1" applyBorder="1" applyAlignment="1">
      <alignment horizontal="right" vertical="top"/>
    </xf>
    <xf numFmtId="180" fontId="3" fillId="0" borderId="15" xfId="4" applyNumberFormat="1" applyFont="1" applyBorder="1" applyAlignment="1">
      <alignment horizontal="right" vertical="top"/>
    </xf>
    <xf numFmtId="180" fontId="3" fillId="0" borderId="16" xfId="4" applyNumberFormat="1" applyFont="1" applyBorder="1" applyAlignment="1">
      <alignment horizontal="right" vertical="top"/>
    </xf>
    <xf numFmtId="178" fontId="3" fillId="0" borderId="13" xfId="4" applyNumberFormat="1" applyFont="1" applyBorder="1" applyAlignment="1">
      <alignment horizontal="right" vertical="top"/>
    </xf>
    <xf numFmtId="0" fontId="3" fillId="0" borderId="14" xfId="4" applyFont="1" applyBorder="1" applyAlignment="1">
      <alignment horizontal="right" vertical="top"/>
    </xf>
    <xf numFmtId="0" fontId="2" fillId="2" borderId="17" xfId="4" applyFont="1" applyFill="1" applyBorder="1" applyAlignment="1">
      <alignment horizontal="left" vertical="top" wrapText="1"/>
    </xf>
    <xf numFmtId="180" fontId="3" fillId="0" borderId="18" xfId="4" applyNumberFormat="1" applyFont="1" applyBorder="1" applyAlignment="1">
      <alignment horizontal="right" vertical="top"/>
    </xf>
    <xf numFmtId="180" fontId="3" fillId="0" borderId="19" xfId="4" applyNumberFormat="1" applyFont="1" applyBorder="1" applyAlignment="1">
      <alignment horizontal="right" vertical="top"/>
    </xf>
    <xf numFmtId="0" fontId="3" fillId="0" borderId="2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1" xfId="4" applyFont="1" applyBorder="1" applyAlignment="1">
      <alignment horizontal="right" vertical="top"/>
    </xf>
    <xf numFmtId="0" fontId="3" fillId="0" borderId="3" xfId="4" applyFont="1" applyBorder="1" applyAlignment="1">
      <alignment horizontal="right" vertical="top"/>
    </xf>
    <xf numFmtId="178" fontId="3" fillId="0" borderId="5" xfId="4" applyNumberFormat="1" applyFont="1" applyBorder="1" applyAlignment="1">
      <alignment horizontal="right" vertical="top"/>
    </xf>
    <xf numFmtId="180" fontId="3" fillId="0" borderId="20" xfId="4" applyNumberFormat="1" applyFont="1" applyBorder="1" applyAlignment="1">
      <alignment horizontal="right" vertical="top"/>
    </xf>
    <xf numFmtId="0" fontId="3" fillId="0" borderId="5" xfId="4" applyFont="1" applyBorder="1" applyAlignment="1">
      <alignment horizontal="right" vertical="top"/>
    </xf>
    <xf numFmtId="180" fontId="3" fillId="0" borderId="21" xfId="4" applyNumberFormat="1" applyFont="1" applyBorder="1" applyAlignment="1">
      <alignment horizontal="right" vertical="top"/>
    </xf>
    <xf numFmtId="0" fontId="5" fillId="0" borderId="0" xfId="47" applyFont="1" applyAlignment="1">
      <alignment horizontal="center" vertical="center" wrapText="1"/>
    </xf>
    <xf numFmtId="0" fontId="2" fillId="0" borderId="6" xfId="47" applyFont="1" applyBorder="1" applyAlignment="1">
      <alignment horizontal="left" wrapText="1"/>
    </xf>
    <xf numFmtId="0" fontId="2" fillId="0" borderId="7" xfId="47" applyFont="1" applyBorder="1" applyAlignment="1">
      <alignment horizontal="center" wrapText="1"/>
    </xf>
    <xf numFmtId="0" fontId="2" fillId="0" borderId="8" xfId="47" applyFont="1" applyBorder="1" applyAlignment="1">
      <alignment horizontal="center" wrapText="1"/>
    </xf>
    <xf numFmtId="0" fontId="2" fillId="2" borderId="9" xfId="47" applyFont="1" applyFill="1" applyBorder="1" applyAlignment="1">
      <alignment horizontal="left" vertical="top" wrapText="1"/>
    </xf>
    <xf numFmtId="180" fontId="3" fillId="0" borderId="10" xfId="47" applyNumberFormat="1" applyFont="1" applyBorder="1" applyAlignment="1">
      <alignment horizontal="right" vertical="top"/>
    </xf>
    <xf numFmtId="180" fontId="3" fillId="0" borderId="11" xfId="47" applyNumberFormat="1" applyFont="1" applyBorder="1" applyAlignment="1">
      <alignment horizontal="right" vertical="top"/>
    </xf>
    <xf numFmtId="0" fontId="2" fillId="2" borderId="12" xfId="47" applyFont="1" applyFill="1" applyBorder="1" applyAlignment="1">
      <alignment horizontal="left" vertical="top" wrapText="1"/>
    </xf>
    <xf numFmtId="180" fontId="3" fillId="0" borderId="13" xfId="47" applyNumberFormat="1" applyFont="1" applyBorder="1" applyAlignment="1">
      <alignment horizontal="right" vertical="top"/>
    </xf>
    <xf numFmtId="180" fontId="3" fillId="0" borderId="14" xfId="47" applyNumberFormat="1" applyFont="1" applyBorder="1" applyAlignment="1">
      <alignment horizontal="right" vertical="top"/>
    </xf>
    <xf numFmtId="178" fontId="3" fillId="0" borderId="13" xfId="47" applyNumberFormat="1" applyFont="1" applyBorder="1" applyAlignment="1">
      <alignment horizontal="right" vertical="top"/>
    </xf>
    <xf numFmtId="178" fontId="3" fillId="0" borderId="14" xfId="47" applyNumberFormat="1" applyFont="1" applyBorder="1" applyAlignment="1">
      <alignment horizontal="right" vertical="top"/>
    </xf>
    <xf numFmtId="0" fontId="2" fillId="2" borderId="12" xfId="47" applyFont="1" applyFill="1" applyBorder="1" applyAlignment="1">
      <alignment horizontal="center" vertical="top" wrapText="1"/>
    </xf>
    <xf numFmtId="0" fontId="2" fillId="2" borderId="17" xfId="47" applyFont="1" applyFill="1" applyBorder="1" applyAlignment="1">
      <alignment horizontal="left" vertical="top" wrapText="1"/>
    </xf>
    <xf numFmtId="178" fontId="3" fillId="0" borderId="18" xfId="47" applyNumberFormat="1" applyFont="1" applyBorder="1" applyAlignment="1">
      <alignment horizontal="right" vertical="top"/>
    </xf>
    <xf numFmtId="178" fontId="3" fillId="0" borderId="19" xfId="47" applyNumberFormat="1" applyFont="1" applyBorder="1" applyAlignment="1">
      <alignment horizontal="right" vertical="top"/>
    </xf>
    <xf numFmtId="0" fontId="4" fillId="0" borderId="0" xfId="47"/>
    <xf numFmtId="0" fontId="2" fillId="0" borderId="1" xfId="47" applyFont="1" applyBorder="1" applyAlignment="1">
      <alignment horizontal="center" wrapText="1"/>
    </xf>
    <xf numFmtId="180" fontId="3" fillId="0" borderId="3" xfId="47" applyNumberFormat="1" applyFont="1" applyBorder="1" applyAlignment="1">
      <alignment horizontal="right" vertical="top"/>
    </xf>
    <xf numFmtId="180" fontId="3" fillId="0" borderId="5" xfId="47" applyNumberFormat="1" applyFont="1" applyBorder="1" applyAlignment="1">
      <alignment horizontal="right" vertical="top"/>
    </xf>
    <xf numFmtId="0" fontId="6" fillId="0" borderId="0" xfId="0" applyFont="1"/>
    <xf numFmtId="178" fontId="3" fillId="0" borderId="5" xfId="47" applyNumberFormat="1" applyFont="1" applyBorder="1" applyAlignment="1">
      <alignment horizontal="right" vertical="top"/>
    </xf>
    <xf numFmtId="178" fontId="3" fillId="0" borderId="21" xfId="47" applyNumberFormat="1" applyFont="1" applyBorder="1" applyAlignment="1">
      <alignment horizontal="right" vertical="top"/>
    </xf>
    <xf numFmtId="0" fontId="5" fillId="0" borderId="0" xfId="24" applyFont="1" applyAlignment="1">
      <alignment horizontal="center" vertical="center" wrapText="1"/>
    </xf>
    <xf numFmtId="0" fontId="4" fillId="0" borderId="0" xfId="24"/>
    <xf numFmtId="0" fontId="2" fillId="0" borderId="0" xfId="24" applyFont="1" applyAlignment="1">
      <alignment horizontal="left" wrapText="1"/>
    </xf>
    <xf numFmtId="0" fontId="2" fillId="0" borderId="0" xfId="24" applyFont="1" applyAlignment="1">
      <alignment horizontal="center" wrapText="1"/>
    </xf>
    <xf numFmtId="0" fontId="2" fillId="0" borderId="22" xfId="24" applyFont="1" applyBorder="1" applyAlignment="1">
      <alignment horizontal="center" wrapText="1"/>
    </xf>
    <xf numFmtId="0" fontId="2" fillId="0" borderId="23" xfId="24" applyFont="1" applyBorder="1" applyAlignment="1">
      <alignment horizontal="center" wrapText="1"/>
    </xf>
    <xf numFmtId="0" fontId="2" fillId="0" borderId="6" xfId="24" applyFont="1" applyBorder="1" applyAlignment="1">
      <alignment horizontal="left" wrapText="1"/>
    </xf>
    <xf numFmtId="0" fontId="2" fillId="0" borderId="7" xfId="24" applyFont="1" applyBorder="1" applyAlignment="1">
      <alignment horizontal="center" wrapText="1"/>
    </xf>
    <xf numFmtId="0" fontId="2" fillId="0" borderId="8" xfId="24" applyFont="1" applyBorder="1" applyAlignment="1">
      <alignment horizontal="center" wrapText="1"/>
    </xf>
    <xf numFmtId="0" fontId="2" fillId="0" borderId="1" xfId="24" applyFont="1" applyBorder="1" applyAlignment="1">
      <alignment horizontal="center" wrapText="1"/>
    </xf>
    <xf numFmtId="0" fontId="2" fillId="2" borderId="9" xfId="24" applyFont="1" applyFill="1" applyBorder="1" applyAlignment="1">
      <alignment horizontal="left" vertical="top" wrapText="1"/>
    </xf>
    <xf numFmtId="178" fontId="3" fillId="0" borderId="10" xfId="24" applyNumberFormat="1" applyFont="1" applyBorder="1" applyAlignment="1">
      <alignment horizontal="right" vertical="top"/>
    </xf>
    <xf numFmtId="180" fontId="3" fillId="0" borderId="11" xfId="24" applyNumberFormat="1" applyFont="1" applyBorder="1" applyAlignment="1">
      <alignment horizontal="right" vertical="top"/>
    </xf>
    <xf numFmtId="0" fontId="3" fillId="0" borderId="3" xfId="24" applyFont="1" applyBorder="1" applyAlignment="1">
      <alignment horizontal="right" vertical="top"/>
    </xf>
    <xf numFmtId="178" fontId="3" fillId="0" borderId="11" xfId="24" applyNumberFormat="1" applyFont="1" applyBorder="1" applyAlignment="1">
      <alignment horizontal="right" vertical="top"/>
    </xf>
    <xf numFmtId="178" fontId="3" fillId="0" borderId="3" xfId="24" applyNumberFormat="1" applyFont="1" applyBorder="1" applyAlignment="1">
      <alignment horizontal="right" vertical="top"/>
    </xf>
    <xf numFmtId="0" fontId="2" fillId="2" borderId="12" xfId="24" applyFont="1" applyFill="1" applyBorder="1" applyAlignment="1">
      <alignment horizontal="left" vertical="top" wrapText="1"/>
    </xf>
    <xf numFmtId="178" fontId="3" fillId="0" borderId="13" xfId="24" applyNumberFormat="1" applyFont="1" applyBorder="1" applyAlignment="1">
      <alignment horizontal="right" vertical="top"/>
    </xf>
    <xf numFmtId="180" fontId="3" fillId="0" borderId="14" xfId="24" applyNumberFormat="1" applyFont="1" applyBorder="1" applyAlignment="1">
      <alignment horizontal="right" vertical="top"/>
    </xf>
    <xf numFmtId="178" fontId="3" fillId="0" borderId="5" xfId="24" applyNumberFormat="1" applyFont="1" applyBorder="1" applyAlignment="1">
      <alignment horizontal="right" vertical="top"/>
    </xf>
    <xf numFmtId="178" fontId="3" fillId="0" borderId="14" xfId="24" applyNumberFormat="1" applyFont="1" applyBorder="1" applyAlignment="1">
      <alignment horizontal="right" vertical="top"/>
    </xf>
    <xf numFmtId="0" fontId="3" fillId="0" borderId="5" xfId="24" applyFont="1" applyBorder="1" applyAlignment="1">
      <alignment horizontal="right" vertical="top"/>
    </xf>
    <xf numFmtId="0" fontId="2" fillId="2" borderId="17" xfId="24" applyFont="1" applyFill="1" applyBorder="1" applyAlignment="1">
      <alignment horizontal="left" vertical="top" wrapText="1"/>
    </xf>
    <xf numFmtId="178" fontId="3" fillId="0" borderId="18" xfId="24" applyNumberFormat="1" applyFont="1" applyBorder="1" applyAlignment="1">
      <alignment horizontal="right" vertical="top"/>
    </xf>
    <xf numFmtId="180" fontId="3" fillId="0" borderId="19" xfId="24" applyNumberFormat="1" applyFont="1" applyBorder="1" applyAlignment="1">
      <alignment horizontal="right" vertical="top"/>
    </xf>
    <xf numFmtId="178" fontId="3" fillId="0" borderId="21" xfId="24" applyNumberFormat="1" applyFont="1" applyBorder="1" applyAlignment="1">
      <alignment horizontal="right" vertical="top"/>
    </xf>
    <xf numFmtId="178" fontId="3" fillId="0" borderId="19" xfId="24" applyNumberFormat="1" applyFont="1" applyBorder="1" applyAlignment="1">
      <alignment horizontal="right" vertical="top"/>
    </xf>
    <xf numFmtId="0" fontId="3" fillId="0" borderId="2" xfId="24" applyFont="1" applyBorder="1" applyAlignment="1">
      <alignment horizontal="left" vertical="top" wrapText="1"/>
    </xf>
    <xf numFmtId="0" fontId="3" fillId="0" borderId="0" xfId="24" applyFont="1" applyAlignment="1">
      <alignment horizontal="left" vertical="top" wrapText="1"/>
    </xf>
    <xf numFmtId="0" fontId="7" fillId="0" borderId="0" xfId="24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4" fillId="0" borderId="0" xfId="9"/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1" fontId="10" fillId="4" borderId="24" xfId="0" applyNumberFormat="1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1" fillId="4" borderId="0" xfId="0" applyFont="1" applyFill="1" applyAlignment="1">
      <alignment wrapText="1"/>
    </xf>
    <xf numFmtId="1" fontId="0" fillId="0" borderId="0" xfId="0" applyNumberFormat="1"/>
    <xf numFmtId="0" fontId="12" fillId="5" borderId="25" xfId="0" applyFont="1" applyFill="1" applyBorder="1"/>
    <xf numFmtId="0" fontId="12" fillId="0" borderId="24" xfId="40" applyFont="1" applyBorder="1" applyAlignment="1">
      <alignment wrapText="1"/>
    </xf>
    <xf numFmtId="0" fontId="12" fillId="0" borderId="25" xfId="0" applyFont="1" applyFill="1" applyBorder="1"/>
    <xf numFmtId="0" fontId="12" fillId="0" borderId="24" xfId="0" applyFont="1" applyBorder="1"/>
    <xf numFmtId="0" fontId="12" fillId="0" borderId="25" xfId="0" applyFont="1" applyFill="1" applyBorder="1"/>
    <xf numFmtId="0" fontId="13" fillId="0" borderId="24" xfId="0" applyFont="1" applyBorder="1"/>
    <xf numFmtId="0" fontId="12" fillId="0" borderId="24" xfId="35" applyFont="1" applyBorder="1" applyAlignment="1">
      <alignment wrapText="1"/>
    </xf>
    <xf numFmtId="0" fontId="12" fillId="0" borderId="25" xfId="0" applyFont="1" applyBorder="1"/>
    <xf numFmtId="0" fontId="12" fillId="0" borderId="25" xfId="35" applyFont="1" applyBorder="1" applyAlignment="1">
      <alignment wrapText="1"/>
    </xf>
    <xf numFmtId="0" fontId="12" fillId="5" borderId="26" xfId="0" applyFont="1" applyFill="1" applyBorder="1"/>
    <xf numFmtId="0" fontId="0" fillId="0" borderId="0" xfId="0" applyAlignment="1">
      <alignment wrapText="1"/>
    </xf>
    <xf numFmtId="0" fontId="0" fillId="6" borderId="0" xfId="0" applyFill="1"/>
    <xf numFmtId="0" fontId="11" fillId="7" borderId="24" xfId="0" applyFont="1" applyFill="1" applyBorder="1" applyAlignment="1">
      <alignment wrapText="1"/>
    </xf>
    <xf numFmtId="0" fontId="10" fillId="4" borderId="24" xfId="0" applyFont="1" applyFill="1" applyBorder="1" applyAlignment="1">
      <alignment wrapText="1"/>
    </xf>
    <xf numFmtId="0" fontId="11" fillId="0" borderId="24" xfId="0" applyFont="1" applyBorder="1" applyAlignment="1">
      <alignment wrapText="1"/>
    </xf>
    <xf numFmtId="2" fontId="11" fillId="0" borderId="24" xfId="0" applyNumberFormat="1" applyFont="1" applyBorder="1" applyAlignment="1">
      <alignment wrapText="1"/>
    </xf>
    <xf numFmtId="0" fontId="11" fillId="8" borderId="24" xfId="0" applyFont="1" applyFill="1" applyBorder="1" applyAlignment="1">
      <alignment wrapText="1"/>
    </xf>
    <xf numFmtId="0" fontId="11" fillId="9" borderId="24" xfId="0" applyFont="1" applyFill="1" applyBorder="1" applyAlignment="1">
      <alignment wrapText="1"/>
    </xf>
    <xf numFmtId="0" fontId="11" fillId="10" borderId="24" xfId="0" applyFont="1" applyFill="1" applyBorder="1" applyAlignment="1">
      <alignment wrapText="1"/>
    </xf>
    <xf numFmtId="0" fontId="11" fillId="6" borderId="24" xfId="0" applyFont="1" applyFill="1" applyBorder="1" applyAlignment="1">
      <alignment wrapText="1"/>
    </xf>
    <xf numFmtId="2" fontId="11" fillId="6" borderId="24" xfId="0" applyNumberFormat="1" applyFont="1" applyFill="1" applyBorder="1" applyAlignment="1">
      <alignment wrapText="1"/>
    </xf>
    <xf numFmtId="0" fontId="11" fillId="11" borderId="24" xfId="0" applyFont="1" applyFill="1" applyBorder="1" applyAlignment="1">
      <alignment wrapText="1"/>
    </xf>
    <xf numFmtId="0" fontId="11" fillId="12" borderId="24" xfId="0" applyFont="1" applyFill="1" applyBorder="1" applyAlignment="1">
      <alignment wrapText="1"/>
    </xf>
    <xf numFmtId="0" fontId="0" fillId="0" borderId="24" xfId="0" applyBorder="1"/>
    <xf numFmtId="0" fontId="11" fillId="13" borderId="24" xfId="0" applyFont="1" applyFill="1" applyBorder="1" applyAlignment="1">
      <alignment wrapText="1"/>
    </xf>
    <xf numFmtId="0" fontId="0" fillId="6" borderId="24" xfId="0" applyFill="1" applyBorder="1"/>
    <xf numFmtId="0" fontId="12" fillId="0" borderId="2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9" borderId="0" xfId="0" applyFont="1" applyFill="1" applyAlignment="1">
      <alignment wrapText="1"/>
    </xf>
    <xf numFmtId="0" fontId="11" fillId="11" borderId="0" xfId="0" applyFont="1" applyFill="1" applyAlignment="1">
      <alignment wrapText="1"/>
    </xf>
    <xf numFmtId="0" fontId="11" fillId="3" borderId="24" xfId="0" applyFont="1" applyFill="1" applyBorder="1" applyAlignment="1">
      <alignment wrapText="1"/>
    </xf>
    <xf numFmtId="0" fontId="11" fillId="14" borderId="24" xfId="0" applyFont="1" applyFill="1" applyBorder="1" applyAlignment="1">
      <alignment wrapText="1"/>
    </xf>
    <xf numFmtId="0" fontId="11" fillId="6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15" borderId="0" xfId="0" applyFill="1"/>
    <xf numFmtId="0" fontId="11" fillId="16" borderId="25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wrapText="1"/>
    </xf>
    <xf numFmtId="0" fontId="11" fillId="12" borderId="25" xfId="0" applyFont="1" applyFill="1" applyBorder="1" applyAlignment="1">
      <alignment wrapText="1"/>
    </xf>
    <xf numFmtId="0" fontId="11" fillId="17" borderId="25" xfId="0" applyFont="1" applyFill="1" applyBorder="1" applyAlignment="1">
      <alignment wrapText="1"/>
    </xf>
    <xf numFmtId="0" fontId="11" fillId="18" borderId="25" xfId="0" applyFont="1" applyFill="1" applyBorder="1" applyAlignment="1">
      <alignment wrapText="1"/>
    </xf>
    <xf numFmtId="0" fontId="0" fillId="6" borderId="25" xfId="0" applyFill="1" applyBorder="1"/>
    <xf numFmtId="0" fontId="11" fillId="6" borderId="25" xfId="0" applyFont="1" applyFill="1" applyBorder="1"/>
    <xf numFmtId="0" fontId="11" fillId="6" borderId="25" xfId="0" applyFont="1" applyFill="1" applyBorder="1" applyAlignment="1" quotePrefix="1">
      <alignment wrapText="1"/>
    </xf>
  </cellXfs>
  <cellStyles count="55">
    <cellStyle name="Normal" xfId="0" builtinId="0"/>
    <cellStyle name="40% - Accent1" xfId="1" builtinId="31"/>
    <cellStyle name="Comma" xfId="2" builtinId="3"/>
    <cellStyle name="Comma [0]" xfId="3" builtinId="6"/>
    <cellStyle name="Normal_Korelasi Spearman" xfId="4"/>
    <cellStyle name="Currency [0]" xfId="5" builtinId="7"/>
    <cellStyle name="Currency" xfId="6" builtinId="4"/>
    <cellStyle name="Percent" xfId="7" builtinId="5"/>
    <cellStyle name="Hyperlink" xfId="8" builtinId="8"/>
    <cellStyle name="Normal_Sheet1" xfId="9"/>
    <cellStyle name="60% - Accent4" xfId="10" builtinId="44"/>
    <cellStyle name="Followed Hyperlink" xfId="11" builtinId="9"/>
    <cellStyle name="Check Cell" xfId="12" builtinId="23"/>
    <cellStyle name="Heading 2" xfId="13" builtinId="17"/>
    <cellStyle name="Note" xfId="14" builtinId="10"/>
    <cellStyle name="40% - Accent3" xfId="15" builtinId="39"/>
    <cellStyle name="Warning Text" xfId="16" builtinId="11"/>
    <cellStyle name="40% - Accent2" xfId="17" builtinId="35"/>
    <cellStyle name="Title" xfId="18" builtinId="15"/>
    <cellStyle name="CExplanatory Text" xfId="19" builtinId="53"/>
    <cellStyle name="Heading 1" xfId="20" builtinId="16"/>
    <cellStyle name="Heading 3" xfId="21" builtinId="18"/>
    <cellStyle name="Heading 4" xfId="22" builtinId="19"/>
    <cellStyle name="Input" xfId="23" builtinId="20"/>
    <cellStyle name="Normal_Hasil" xfId="24"/>
    <cellStyle name="60% - Accent3" xfId="25" builtinId="40"/>
    <cellStyle name="Good" xfId="26" builtinId="26"/>
    <cellStyle name="Output" xfId="27" builtinId="21"/>
    <cellStyle name="20% - Accent1" xfId="28" builtinId="30"/>
    <cellStyle name="Calculation" xfId="29" builtinId="22"/>
    <cellStyle name="Linked Cell" xfId="30" builtinId="24"/>
    <cellStyle name="Total" xfId="31" builtinId="25"/>
    <cellStyle name="Bad" xfId="32" builtinId="27"/>
    <cellStyle name="Neutral" xfId="33" builtinId="28"/>
    <cellStyle name="Accent1" xfId="34" builtinId="29"/>
    <cellStyle name="Normal 2" xfId="35"/>
    <cellStyle name="20% - Accent5" xfId="36" builtinId="46"/>
    <cellStyle name="60% - Accent1" xfId="37" builtinId="32"/>
    <cellStyle name="Accent2" xfId="38" builtinId="33"/>
    <cellStyle name="20% - Accent2" xfId="39" builtinId="34"/>
    <cellStyle name="Normal 3" xfId="40"/>
    <cellStyle name="20% - Accent6" xfId="41" builtinId="50"/>
    <cellStyle name="60% - Accent2" xfId="42" builtinId="36"/>
    <cellStyle name="Accent3" xfId="43" builtinId="37"/>
    <cellStyle name="20% - Accent3" xfId="44" builtinId="38"/>
    <cellStyle name="Accent4" xfId="45" builtinId="41"/>
    <cellStyle name="20% - Accent4" xfId="46" builtinId="42"/>
    <cellStyle name="Normal_skewness kurto" xfId="47"/>
    <cellStyle name="40% - Accent4" xfId="48" builtinId="43"/>
    <cellStyle name="Accent5" xfId="49" builtinId="45"/>
    <cellStyle name="40% - Accent5" xfId="50" builtinId="47"/>
    <cellStyle name="60% - Accent5" xfId="51" builtinId="48"/>
    <cellStyle name="Accent6" xfId="52" builtinId="49"/>
    <cellStyle name="40% - Accent6" xfId="53" builtinId="51"/>
    <cellStyle name="60% - Accent6" xfId="54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17279090114"/>
          <c:y val="0.0979679802955665"/>
          <c:w val="0.788834572761738"/>
          <c:h val="0.679142585625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Korelasi!$B$4</c:f>
              <c:strCache>
                <c:ptCount val="1"/>
                <c:pt idx="0">
                  <c:v>IMT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Korelasi!$C$4</c:f>
              <c:numCache>
                <c:formatCode>#,##0.000</c:formatCode>
                <c:ptCount val="1"/>
                <c:pt idx="0">
                  <c:v>-0.265</c:v>
                </c:pt>
              </c:numCache>
            </c:numRef>
          </c:val>
        </c:ser>
        <c:ser>
          <c:idx val="1"/>
          <c:order val="1"/>
          <c:tx>
            <c:strRef>
              <c:f>Korelasi!$B$5</c:f>
              <c:strCache>
                <c:ptCount val="1"/>
                <c:pt idx="0">
                  <c:v>Carb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Korelasi!$C$5</c:f>
              <c:numCache>
                <c:formatCode>#,##0.000</c:formatCode>
                <c:ptCount val="1"/>
                <c:pt idx="0">
                  <c:v>0.0384619180309569</c:v>
                </c:pt>
              </c:numCache>
            </c:numRef>
          </c:val>
        </c:ser>
        <c:ser>
          <c:idx val="2"/>
          <c:order val="2"/>
          <c:tx>
            <c:strRef>
              <c:f>Korelasi!$B$6</c:f>
              <c:strCache>
                <c:ptCount val="1"/>
                <c:pt idx="0">
                  <c:v>Fats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Korelasi!$C$6</c:f>
              <c:numCache>
                <c:formatCode>#,##0.000</c:formatCode>
                <c:ptCount val="1"/>
                <c:pt idx="0">
                  <c:v>0.064766215168113</c:v>
                </c:pt>
              </c:numCache>
            </c:numRef>
          </c:val>
        </c:ser>
        <c:ser>
          <c:idx val="3"/>
          <c:order val="3"/>
          <c:tx>
            <c:strRef>
              <c:f>Korelasi!$B$7</c:f>
              <c:strCache>
                <c:ptCount val="1"/>
                <c:pt idx="0">
                  <c:v>Hydration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Korelasi!$C$7</c:f>
              <c:numCache>
                <c:formatCode>#,##0.000</c:formatCode>
                <c:ptCount val="1"/>
                <c:pt idx="0">
                  <c:v>0.0620550402566405</c:v>
                </c:pt>
              </c:numCache>
            </c:numRef>
          </c:val>
        </c:ser>
        <c:ser>
          <c:idx val="4"/>
          <c:order val="4"/>
          <c:tx>
            <c:strRef>
              <c:f>Korelasi!$B$8</c:f>
              <c:strCache>
                <c:ptCount val="1"/>
                <c:pt idx="0">
                  <c:v>Protein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Korelasi!$C$8</c:f>
              <c:numCache>
                <c:formatCode>#,##0.000</c:formatCode>
                <c:ptCount val="1"/>
                <c:pt idx="0">
                  <c:v>0.287</c:v>
                </c:pt>
              </c:numCache>
            </c:numRef>
          </c:val>
        </c:ser>
        <c:ser>
          <c:idx val="5"/>
          <c:order val="5"/>
          <c:tx>
            <c:strRef>
              <c:f>Korelasi!$B$9</c:f>
              <c:strCache>
                <c:ptCount val="1"/>
                <c:pt idx="0">
                  <c:v>Energy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Korelasi!$C$3</c:f>
              <c:strCache>
                <c:ptCount val="1"/>
                <c:pt idx="0">
                  <c:v>Fitness Test</c:v>
                </c:pt>
              </c:strCache>
            </c:strRef>
          </c:cat>
          <c:val>
            <c:numRef>
              <c:f>Korelasi!$C$9</c:f>
              <c:numCache>
                <c:formatCode>#,##0.000</c:formatCode>
                <c:ptCount val="1"/>
                <c:pt idx="0">
                  <c:v>0.238377506003841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4734240"/>
        <c:axId val="304732672"/>
      </c:barChart>
      <c:catAx>
        <c:axId val="3047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4732672"/>
        <c:crosses val="autoZero"/>
        <c:auto val="1"/>
        <c:lblAlgn val="ctr"/>
        <c:lblOffset val="100"/>
        <c:noMultiLvlLbl val="0"/>
      </c:catAx>
      <c:valAx>
        <c:axId val="30473267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/>
                  <a:t>Corelation to Cooper Test</a:t>
                </a:r>
                <a:endParaRPr lang="en-GB" sz="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4734240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en-US" sz="700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</xdr:colOff>
      <xdr:row>14</xdr:row>
      <xdr:rowOff>15240</xdr:rowOff>
    </xdr:from>
    <xdr:to>
      <xdr:col>8</xdr:col>
      <xdr:colOff>42333</xdr:colOff>
      <xdr:row>29</xdr:row>
      <xdr:rowOff>30481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935" y="2672715"/>
          <a:ext cx="4219575" cy="24441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15240</xdr:colOff>
      <xdr:row>46</xdr:row>
      <xdr:rowOff>12742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" y="5410200"/>
          <a:ext cx="4215765" cy="2441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22859</xdr:colOff>
      <xdr:row>62</xdr:row>
      <xdr:rowOff>17237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0075" y="8001000"/>
          <a:ext cx="4222750" cy="24460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8</xdr:col>
      <xdr:colOff>68579</xdr:colOff>
      <xdr:row>78</xdr:row>
      <xdr:rowOff>44220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075" y="10591800"/>
          <a:ext cx="4268470" cy="24726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8</xdr:col>
      <xdr:colOff>15240</xdr:colOff>
      <xdr:row>94</xdr:row>
      <xdr:rowOff>12742</xdr:rowOff>
    </xdr:to>
    <xdr:pic>
      <xdr:nvPicPr>
        <xdr:cNvPr id="6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075" y="13182600"/>
          <a:ext cx="4215765" cy="2441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8</xdr:col>
      <xdr:colOff>38101</xdr:colOff>
      <xdr:row>110</xdr:row>
      <xdr:rowOff>26233</xdr:rowOff>
    </xdr:to>
    <xdr:pic>
      <xdr:nvPicPr>
        <xdr:cNvPr id="7" name="Picture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0075" y="15773400"/>
          <a:ext cx="4238625" cy="2454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8</xdr:col>
      <xdr:colOff>45720</xdr:colOff>
      <xdr:row>126</xdr:row>
      <xdr:rowOff>30730</xdr:rowOff>
    </xdr:to>
    <xdr:pic>
      <xdr:nvPicPr>
        <xdr:cNvPr id="8" name="Picture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0075" y="18364200"/>
          <a:ext cx="4246245" cy="2459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571500</xdr:colOff>
      <xdr:row>0</xdr:row>
      <xdr:rowOff>123825</xdr:rowOff>
    </xdr:from>
    <xdr:to>
      <xdr:col>8</xdr:col>
      <xdr:colOff>276225</xdr:colOff>
      <xdr:row>12</xdr:row>
      <xdr:rowOff>31750</xdr:rowOff>
    </xdr:to>
    <xdr:graphicFrame>
      <xdr:nvGraphicFramePr>
        <xdr:cNvPr id="4" name="Chart 3"/>
        <xdr:cNvGraphicFramePr/>
      </xdr:nvGraphicFramePr>
      <xdr:xfrm>
        <a:off x="2512060" y="123825"/>
        <a:ext cx="2705100" cy="199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V47"/>
  <sheetViews>
    <sheetView zoomScale="55" zoomScaleNormal="55" topLeftCell="A19" workbookViewId="0">
      <selection activeCell="A29" sqref="A29"/>
    </sheetView>
  </sheetViews>
  <sheetFormatPr defaultColWidth="12.6666666666667" defaultRowHeight="15.75" customHeight="1"/>
  <cols>
    <col min="1" max="1" width="34.3333333333333" style="108" customWidth="1"/>
    <col min="2" max="9" width="18.8857142857143" style="108" customWidth="1"/>
    <col min="10" max="10" width="29.6666666666667" style="108" customWidth="1"/>
    <col min="11" max="11" width="18.8857142857143" style="108" customWidth="1"/>
    <col min="12" max="14" width="29.6666666666667" style="108" customWidth="1"/>
    <col min="15" max="48" width="18.8857142857143" style="108" customWidth="1"/>
  </cols>
  <sheetData>
    <row r="1" s="131" customFormat="1" ht="54" customHeight="1" spans="1:48">
      <c r="A1" s="133" t="s">
        <v>0</v>
      </c>
      <c r="B1" s="133" t="s">
        <v>1</v>
      </c>
      <c r="C1" s="133" t="s">
        <v>2</v>
      </c>
      <c r="D1" s="133" t="s">
        <v>3</v>
      </c>
      <c r="E1" s="133" t="s">
        <v>4</v>
      </c>
      <c r="F1" s="133" t="s">
        <v>5</v>
      </c>
      <c r="G1" s="133" t="s">
        <v>6</v>
      </c>
      <c r="H1" s="134" t="s">
        <v>7</v>
      </c>
      <c r="I1" s="133" t="s">
        <v>8</v>
      </c>
      <c r="J1" s="133" t="s">
        <v>9</v>
      </c>
      <c r="K1" s="133" t="s">
        <v>10</v>
      </c>
      <c r="L1" s="133" t="s">
        <v>11</v>
      </c>
      <c r="M1" s="133" t="s">
        <v>12</v>
      </c>
      <c r="N1" s="133" t="s">
        <v>13</v>
      </c>
      <c r="O1" s="133" t="s">
        <v>14</v>
      </c>
      <c r="P1" s="133" t="s">
        <v>15</v>
      </c>
      <c r="Q1" s="133" t="s">
        <v>16</v>
      </c>
      <c r="R1" s="133" t="s">
        <v>17</v>
      </c>
      <c r="S1" s="133" t="s">
        <v>18</v>
      </c>
      <c r="T1" s="133" t="s">
        <v>19</v>
      </c>
      <c r="U1" s="133" t="s">
        <v>20</v>
      </c>
      <c r="V1" s="133" t="s">
        <v>11</v>
      </c>
      <c r="W1" s="133" t="s">
        <v>21</v>
      </c>
      <c r="X1" s="133" t="s">
        <v>22</v>
      </c>
      <c r="Y1" s="133" t="s">
        <v>23</v>
      </c>
      <c r="Z1" s="133" t="s">
        <v>24</v>
      </c>
      <c r="AA1" s="133" t="s">
        <v>25</v>
      </c>
      <c r="AB1" s="133" t="s">
        <v>15</v>
      </c>
      <c r="AC1" s="133" t="s">
        <v>14</v>
      </c>
      <c r="AD1" s="133" t="s">
        <v>26</v>
      </c>
      <c r="AE1" s="133" t="s">
        <v>27</v>
      </c>
      <c r="AF1" s="133" t="s">
        <v>11</v>
      </c>
      <c r="AG1" s="133" t="s">
        <v>28</v>
      </c>
      <c r="AH1" s="133" t="s">
        <v>15</v>
      </c>
      <c r="AI1" s="133" t="s">
        <v>14</v>
      </c>
      <c r="AJ1" s="133" t="s">
        <v>22</v>
      </c>
      <c r="AK1" s="133" t="s">
        <v>29</v>
      </c>
      <c r="AL1" s="133" t="s">
        <v>30</v>
      </c>
      <c r="AM1" s="133" t="s">
        <v>11</v>
      </c>
      <c r="AN1" s="133" t="s">
        <v>31</v>
      </c>
      <c r="AO1" s="133" t="s">
        <v>15</v>
      </c>
      <c r="AP1" s="133" t="s">
        <v>14</v>
      </c>
      <c r="AQ1" s="133" t="s">
        <v>22</v>
      </c>
      <c r="AR1" s="133" t="s">
        <v>32</v>
      </c>
      <c r="AS1" s="133" t="s">
        <v>33</v>
      </c>
      <c r="AT1" s="133" t="s">
        <v>11</v>
      </c>
      <c r="AU1" s="133" t="s">
        <v>34</v>
      </c>
      <c r="AV1" s="133" t="s">
        <v>35</v>
      </c>
    </row>
    <row r="2" ht="49.95" customHeight="1" spans="1:48">
      <c r="A2" s="135" t="s">
        <v>36</v>
      </c>
      <c r="B2" s="135" t="s">
        <v>37</v>
      </c>
      <c r="C2" s="135">
        <v>18</v>
      </c>
      <c r="D2" s="135" t="s">
        <v>38</v>
      </c>
      <c r="E2" s="135">
        <v>75</v>
      </c>
      <c r="F2" s="135">
        <v>165</v>
      </c>
      <c r="G2" s="135">
        <f t="shared" ref="G2:G42" si="0">(E2/(F2*F2))*10000</f>
        <v>27.5482093663912</v>
      </c>
      <c r="H2" s="136" t="s">
        <v>39</v>
      </c>
      <c r="I2" s="135" t="s">
        <v>40</v>
      </c>
      <c r="J2" s="135">
        <v>2625</v>
      </c>
      <c r="K2" s="135">
        <v>1000</v>
      </c>
      <c r="L2" s="135">
        <f>1000/J2</f>
        <v>0.380952380952381</v>
      </c>
      <c r="M2" s="135" t="s">
        <v>41</v>
      </c>
      <c r="N2" s="135" t="s">
        <v>42</v>
      </c>
      <c r="O2" s="135">
        <v>3</v>
      </c>
      <c r="P2" s="135" t="s">
        <v>43</v>
      </c>
      <c r="Q2" s="135">
        <f>(525+135+110+148+75)*3</f>
        <v>2979</v>
      </c>
      <c r="R2" s="135">
        <f>100+300</f>
        <v>400</v>
      </c>
      <c r="S2" s="135">
        <f t="shared" ref="S2:S42" si="1">Q2+R2</f>
        <v>3379</v>
      </c>
      <c r="T2" s="135">
        <v>1587.4</v>
      </c>
      <c r="U2" s="135">
        <v>2250</v>
      </c>
      <c r="V2" s="135">
        <f t="shared" ref="V2:V42" si="2">S2/U2</f>
        <v>1.50177777777778</v>
      </c>
      <c r="W2" s="135" t="s">
        <v>44</v>
      </c>
      <c r="X2" s="135" t="s">
        <v>45</v>
      </c>
      <c r="Y2" s="135" t="s">
        <v>46</v>
      </c>
      <c r="Z2" s="135" t="s">
        <v>47</v>
      </c>
      <c r="AA2" s="135" t="s">
        <v>48</v>
      </c>
      <c r="AB2" s="135" t="s">
        <v>43</v>
      </c>
      <c r="AC2" s="135">
        <v>3</v>
      </c>
      <c r="AD2" s="135">
        <f>(2.7*3*3)+(11*3)+(2.9*3)+(11*3)</f>
        <v>99</v>
      </c>
      <c r="AE2" s="135">
        <v>97.5</v>
      </c>
      <c r="AF2" s="135">
        <f t="shared" ref="AF2:AF42" si="3">AD2/AE2</f>
        <v>1.01538461538462</v>
      </c>
      <c r="AG2" s="135" t="s">
        <v>49</v>
      </c>
      <c r="AH2" s="135" t="s">
        <v>43</v>
      </c>
      <c r="AI2" s="135">
        <v>3</v>
      </c>
      <c r="AJ2" s="135" t="s">
        <v>45</v>
      </c>
      <c r="AK2" s="135">
        <f>(28*3*3)+(0.6*3)+(6*3)+10+(13*3)+30+12</f>
        <v>362.8</v>
      </c>
      <c r="AL2" s="135">
        <v>164.0625</v>
      </c>
      <c r="AM2" s="135">
        <f t="shared" ref="AM2:AM42" si="4">AK2/AL2</f>
        <v>2.21135238095238</v>
      </c>
      <c r="AN2" s="135" t="s">
        <v>44</v>
      </c>
      <c r="AO2" s="135" t="s">
        <v>43</v>
      </c>
      <c r="AP2" s="135">
        <v>3</v>
      </c>
      <c r="AQ2" s="135" t="s">
        <v>45</v>
      </c>
      <c r="AR2" s="135">
        <f>(0.3*3*3)+(12.24*3)+(0.5*2)+(5*3)+(11*3)+6</f>
        <v>94.42</v>
      </c>
      <c r="AS2" s="135">
        <v>31.25</v>
      </c>
      <c r="AT2" s="135">
        <f t="shared" ref="AT2:AT42" si="5">AR2/AS2</f>
        <v>3.02144</v>
      </c>
      <c r="AU2" s="135" t="s">
        <v>44</v>
      </c>
      <c r="AV2" s="135" t="s">
        <v>50</v>
      </c>
    </row>
    <row r="3" ht="58.95" customHeight="1" spans="1:48">
      <c r="A3" s="135" t="s">
        <v>51</v>
      </c>
      <c r="B3" s="135" t="s">
        <v>52</v>
      </c>
      <c r="C3" s="135">
        <v>18</v>
      </c>
      <c r="D3" s="135" t="s">
        <v>53</v>
      </c>
      <c r="E3" s="135">
        <v>64</v>
      </c>
      <c r="F3" s="135">
        <v>171</v>
      </c>
      <c r="G3" s="135">
        <f t="shared" si="0"/>
        <v>21.8870763653774</v>
      </c>
      <c r="H3" s="137" t="s">
        <v>54</v>
      </c>
      <c r="I3" s="135" t="s">
        <v>55</v>
      </c>
      <c r="J3" s="135">
        <v>2240</v>
      </c>
      <c r="K3" s="135">
        <v>2000</v>
      </c>
      <c r="L3" s="135">
        <f>2000/J3</f>
        <v>0.892857142857143</v>
      </c>
      <c r="M3" s="135" t="s">
        <v>49</v>
      </c>
      <c r="N3" s="135" t="s">
        <v>56</v>
      </c>
      <c r="O3" s="135">
        <v>2</v>
      </c>
      <c r="P3" s="135" t="s">
        <v>57</v>
      </c>
      <c r="Q3" s="135">
        <f>(129+154+70)*2</f>
        <v>706</v>
      </c>
      <c r="R3" s="135">
        <v>250</v>
      </c>
      <c r="S3" s="135">
        <f t="shared" si="1"/>
        <v>956</v>
      </c>
      <c r="T3" s="135">
        <v>1675.76</v>
      </c>
      <c r="U3" s="135">
        <v>2010.912</v>
      </c>
      <c r="V3" s="135">
        <f t="shared" si="2"/>
        <v>0.475406183860855</v>
      </c>
      <c r="W3" s="135" t="s">
        <v>58</v>
      </c>
      <c r="X3" s="135" t="s">
        <v>59</v>
      </c>
      <c r="Y3" s="135" t="s">
        <v>46</v>
      </c>
      <c r="Z3" s="135" t="s">
        <v>47</v>
      </c>
      <c r="AA3" s="135" t="s">
        <v>60</v>
      </c>
      <c r="AB3" s="135" t="s">
        <v>57</v>
      </c>
      <c r="AC3" s="135">
        <v>2</v>
      </c>
      <c r="AD3" s="135">
        <f>(11*2)+(2.7*2)</f>
        <v>27.4</v>
      </c>
      <c r="AE3" s="135">
        <v>76.8</v>
      </c>
      <c r="AF3" s="135">
        <f t="shared" si="3"/>
        <v>0.356770833333333</v>
      </c>
      <c r="AG3" s="135" t="s">
        <v>41</v>
      </c>
      <c r="AH3" s="135" t="s">
        <v>57</v>
      </c>
      <c r="AI3" s="135">
        <v>2</v>
      </c>
      <c r="AJ3" s="135" t="s">
        <v>59</v>
      </c>
      <c r="AK3" s="135">
        <f>(28*1*2)+(13*2)+(0.6*2)+(73/2)+61</f>
        <v>180.7</v>
      </c>
      <c r="AL3" s="135">
        <v>276.5004</v>
      </c>
      <c r="AM3" s="135">
        <f t="shared" si="4"/>
        <v>0.653525275189475</v>
      </c>
      <c r="AN3" s="135" t="s">
        <v>58</v>
      </c>
      <c r="AO3" s="135" t="s">
        <v>57</v>
      </c>
      <c r="AP3" s="135">
        <v>2</v>
      </c>
      <c r="AQ3" s="135" t="s">
        <v>59</v>
      </c>
      <c r="AR3" s="135">
        <f>(0.3*1*2)+(12*2)+(0.5*2)+(4.8*3)+(31)</f>
        <v>71</v>
      </c>
      <c r="AS3" s="135">
        <v>67.0304</v>
      </c>
      <c r="AT3" s="135">
        <f t="shared" si="5"/>
        <v>1.05922089081969</v>
      </c>
      <c r="AU3" s="135" t="s">
        <v>49</v>
      </c>
      <c r="AV3" s="135" t="s">
        <v>50</v>
      </c>
    </row>
    <row r="4" ht="39" customHeight="1" spans="1:48">
      <c r="A4" s="135" t="s">
        <v>61</v>
      </c>
      <c r="B4" s="135" t="s">
        <v>52</v>
      </c>
      <c r="C4" s="135">
        <v>21</v>
      </c>
      <c r="D4" s="135" t="s">
        <v>62</v>
      </c>
      <c r="E4" s="135">
        <v>87</v>
      </c>
      <c r="F4" s="135">
        <v>166</v>
      </c>
      <c r="G4" s="135">
        <f t="shared" si="0"/>
        <v>31.5720714182029</v>
      </c>
      <c r="H4" s="136" t="s">
        <v>63</v>
      </c>
      <c r="I4" s="135" t="s">
        <v>64</v>
      </c>
      <c r="J4" s="135">
        <v>3045</v>
      </c>
      <c r="K4" s="135">
        <v>3000</v>
      </c>
      <c r="L4" s="135">
        <f>3000/J4</f>
        <v>0.985221674876847</v>
      </c>
      <c r="M4" s="135" t="s">
        <v>49</v>
      </c>
      <c r="N4" s="135" t="s">
        <v>42</v>
      </c>
      <c r="O4" s="135">
        <v>2</v>
      </c>
      <c r="P4" s="135" t="s">
        <v>65</v>
      </c>
      <c r="Q4" s="135">
        <f>(129+250+150+70)*2</f>
        <v>1198</v>
      </c>
      <c r="R4" s="135">
        <f>258+510+125</f>
        <v>893</v>
      </c>
      <c r="S4" s="135">
        <f t="shared" si="1"/>
        <v>2091</v>
      </c>
      <c r="T4" s="135">
        <v>1945.52</v>
      </c>
      <c r="U4" s="135">
        <v>2334.624</v>
      </c>
      <c r="V4" s="135">
        <f t="shared" si="2"/>
        <v>0.895647436161026</v>
      </c>
      <c r="W4" s="135" t="s">
        <v>49</v>
      </c>
      <c r="X4" s="135" t="s">
        <v>66</v>
      </c>
      <c r="Y4" s="135" t="s">
        <v>50</v>
      </c>
      <c r="Z4" s="135" t="s">
        <v>47</v>
      </c>
      <c r="AA4" s="135" t="s">
        <v>48</v>
      </c>
      <c r="AB4" s="135" t="s">
        <v>65</v>
      </c>
      <c r="AC4" s="135">
        <v>2</v>
      </c>
      <c r="AD4" s="135">
        <f>(2.7*1*2)+(13.5*2)+(2.9*2)+(11*2)</f>
        <v>60.2</v>
      </c>
      <c r="AE4" s="135">
        <v>69.6</v>
      </c>
      <c r="AF4" s="135">
        <f t="shared" si="3"/>
        <v>0.864942528735632</v>
      </c>
      <c r="AG4" s="135" t="s">
        <v>49</v>
      </c>
      <c r="AH4" s="135" t="s">
        <v>65</v>
      </c>
      <c r="AI4" s="135">
        <v>2</v>
      </c>
      <c r="AJ4" s="135" t="s">
        <v>66</v>
      </c>
      <c r="AK4" s="135">
        <f>(28*1*2)+(0.6*4)+(12*2)+(13*2)+50+12</f>
        <v>170.4</v>
      </c>
      <c r="AL4" s="135">
        <v>170.233</v>
      </c>
      <c r="AM4" s="135">
        <f t="shared" si="4"/>
        <v>1.00098100838263</v>
      </c>
      <c r="AN4" s="135" t="s">
        <v>49</v>
      </c>
      <c r="AO4" s="135" t="s">
        <v>65</v>
      </c>
      <c r="AP4" s="135">
        <v>2</v>
      </c>
      <c r="AQ4" s="135" t="s">
        <v>66</v>
      </c>
      <c r="AR4" s="135">
        <f>(0.3*1*2)+(12.24*2)+(0.5*2)+31</f>
        <v>57.08</v>
      </c>
      <c r="AS4" s="135">
        <v>32.4253333333333</v>
      </c>
      <c r="AT4" s="135">
        <f t="shared" si="5"/>
        <v>1.76035198815741</v>
      </c>
      <c r="AU4" s="135" t="s">
        <v>44</v>
      </c>
      <c r="AV4" s="135" t="s">
        <v>50</v>
      </c>
    </row>
    <row r="5" ht="42" customHeight="1" spans="1:48">
      <c r="A5" s="135" t="s">
        <v>67</v>
      </c>
      <c r="B5" s="135" t="s">
        <v>37</v>
      </c>
      <c r="C5" s="135">
        <v>18</v>
      </c>
      <c r="D5" s="135" t="s">
        <v>68</v>
      </c>
      <c r="E5" s="135">
        <v>49</v>
      </c>
      <c r="F5" s="135">
        <v>152</v>
      </c>
      <c r="G5" s="135">
        <f t="shared" si="0"/>
        <v>21.2084487534626</v>
      </c>
      <c r="H5" s="135" t="s">
        <v>54</v>
      </c>
      <c r="I5" s="135" t="s">
        <v>69</v>
      </c>
      <c r="J5" s="135">
        <f>49*30</f>
        <v>1470</v>
      </c>
      <c r="K5" s="135">
        <v>1200</v>
      </c>
      <c r="L5" s="135">
        <f>1200/1470</f>
        <v>0.816326530612245</v>
      </c>
      <c r="M5" s="135" t="s">
        <v>49</v>
      </c>
      <c r="N5" s="135" t="s">
        <v>56</v>
      </c>
      <c r="O5" s="135">
        <v>2</v>
      </c>
      <c r="P5" s="135" t="s">
        <v>70</v>
      </c>
      <c r="Q5" s="135">
        <f>(129+193+75)*2</f>
        <v>794</v>
      </c>
      <c r="R5" s="135">
        <f>350+210</f>
        <v>560</v>
      </c>
      <c r="S5" s="135">
        <f t="shared" si="1"/>
        <v>1354</v>
      </c>
      <c r="T5" s="140">
        <v>1314</v>
      </c>
      <c r="U5" s="135">
        <f>T5*1.2</f>
        <v>1576.8</v>
      </c>
      <c r="V5" s="135">
        <f t="shared" si="2"/>
        <v>0.858701166920345</v>
      </c>
      <c r="W5" s="135" t="s">
        <v>49</v>
      </c>
      <c r="X5" s="135" t="s">
        <v>71</v>
      </c>
      <c r="Y5" s="135" t="s">
        <v>50</v>
      </c>
      <c r="Z5" s="135" t="s">
        <v>72</v>
      </c>
      <c r="AA5" s="135" t="s">
        <v>73</v>
      </c>
      <c r="AB5" s="135" t="s">
        <v>70</v>
      </c>
      <c r="AC5" s="135">
        <v>2</v>
      </c>
      <c r="AD5" s="135">
        <f>(2.7*1*2)+(13.5*2)+(2.9*2)</f>
        <v>38.2</v>
      </c>
      <c r="AE5" s="135">
        <f>49*1.2</f>
        <v>58.8</v>
      </c>
      <c r="AF5" s="135">
        <f t="shared" si="3"/>
        <v>0.649659863945578</v>
      </c>
      <c r="AG5" s="135" t="s">
        <v>58</v>
      </c>
      <c r="AH5" s="135" t="s">
        <v>70</v>
      </c>
      <c r="AI5" s="135">
        <v>2</v>
      </c>
      <c r="AJ5" s="135" t="s">
        <v>71</v>
      </c>
      <c r="AK5" s="135">
        <f>(28*1*2)+(6*3)+(13*2)+61+12+20</f>
        <v>193</v>
      </c>
      <c r="AL5" s="135">
        <v>206.25</v>
      </c>
      <c r="AM5" s="135">
        <f t="shared" si="4"/>
        <v>0.935757575757576</v>
      </c>
      <c r="AN5" s="135" t="s">
        <v>49</v>
      </c>
      <c r="AO5" s="135" t="s">
        <v>70</v>
      </c>
      <c r="AP5" s="135">
        <v>2</v>
      </c>
      <c r="AQ5" s="135" t="s">
        <v>71</v>
      </c>
      <c r="AR5" s="135">
        <f>(0.3*1*2)+(12.24*2)+(0.5*2)+31+12</f>
        <v>69.08</v>
      </c>
      <c r="AS5" s="135">
        <f>(30%*1576)/9</f>
        <v>52.5333333333333</v>
      </c>
      <c r="AT5" s="135">
        <f t="shared" si="5"/>
        <v>1.31497461928934</v>
      </c>
      <c r="AU5" s="135" t="s">
        <v>44</v>
      </c>
      <c r="AV5" s="135" t="s">
        <v>50</v>
      </c>
    </row>
    <row r="6" ht="91.95" customHeight="1" spans="1:48">
      <c r="A6" s="135" t="s">
        <v>74</v>
      </c>
      <c r="B6" s="135" t="s">
        <v>37</v>
      </c>
      <c r="C6" s="135">
        <v>19</v>
      </c>
      <c r="D6" s="135" t="s">
        <v>75</v>
      </c>
      <c r="E6" s="135">
        <v>50</v>
      </c>
      <c r="F6" s="135">
        <v>165</v>
      </c>
      <c r="G6" s="135">
        <f t="shared" si="0"/>
        <v>18.3654729109275</v>
      </c>
      <c r="H6" s="137" t="s">
        <v>54</v>
      </c>
      <c r="I6" s="135" t="s">
        <v>76</v>
      </c>
      <c r="J6" s="135">
        <v>1750</v>
      </c>
      <c r="K6" s="135">
        <v>600</v>
      </c>
      <c r="L6" s="135">
        <f>600/J6</f>
        <v>0.342857142857143</v>
      </c>
      <c r="M6" s="135" t="s">
        <v>41</v>
      </c>
      <c r="N6" s="135" t="s">
        <v>42</v>
      </c>
      <c r="O6" s="135">
        <v>2</v>
      </c>
      <c r="P6" s="135" t="s">
        <v>70</v>
      </c>
      <c r="Q6" s="135">
        <f>(129+193+75)*2</f>
        <v>794</v>
      </c>
      <c r="R6" s="135">
        <f>350+210</f>
        <v>560</v>
      </c>
      <c r="S6" s="135">
        <f t="shared" si="1"/>
        <v>1354</v>
      </c>
      <c r="T6" s="135">
        <v>1342.7</v>
      </c>
      <c r="U6" s="135">
        <v>1500</v>
      </c>
      <c r="V6" s="135">
        <f t="shared" si="2"/>
        <v>0.902666666666667</v>
      </c>
      <c r="W6" s="135" t="s">
        <v>49</v>
      </c>
      <c r="X6" s="135" t="s">
        <v>71</v>
      </c>
      <c r="Y6" s="135" t="s">
        <v>46</v>
      </c>
      <c r="Z6" s="135" t="s">
        <v>47</v>
      </c>
      <c r="AA6" s="135" t="s">
        <v>77</v>
      </c>
      <c r="AB6" s="135" t="s">
        <v>70</v>
      </c>
      <c r="AC6" s="135">
        <v>2</v>
      </c>
      <c r="AD6" s="135">
        <f>(2.7*1*2)+(13.5*2)+(2.9*2)</f>
        <v>38.2</v>
      </c>
      <c r="AE6" s="135">
        <v>60</v>
      </c>
      <c r="AF6" s="135">
        <f t="shared" si="3"/>
        <v>0.636666666666667</v>
      </c>
      <c r="AG6" s="135" t="s">
        <v>58</v>
      </c>
      <c r="AH6" s="135" t="s">
        <v>70</v>
      </c>
      <c r="AI6" s="135">
        <v>2</v>
      </c>
      <c r="AJ6" s="135" t="s">
        <v>71</v>
      </c>
      <c r="AK6" s="135">
        <f>(28*1*2)+(6*3)+(13*2)+61+12+20</f>
        <v>193</v>
      </c>
      <c r="AL6" s="135">
        <v>206.25</v>
      </c>
      <c r="AM6" s="135">
        <f t="shared" si="4"/>
        <v>0.935757575757576</v>
      </c>
      <c r="AN6" s="135" t="s">
        <v>49</v>
      </c>
      <c r="AO6" s="135" t="s">
        <v>70</v>
      </c>
      <c r="AP6" s="135">
        <v>2</v>
      </c>
      <c r="AQ6" s="135" t="s">
        <v>71</v>
      </c>
      <c r="AR6" s="135">
        <f>(0.3*1*2)+(12.24*2)+(0.5*2)+31+12</f>
        <v>69.08</v>
      </c>
      <c r="AS6" s="135">
        <v>50</v>
      </c>
      <c r="AT6" s="135">
        <f t="shared" si="5"/>
        <v>1.3816</v>
      </c>
      <c r="AU6" s="135" t="s">
        <v>44</v>
      </c>
      <c r="AV6" s="135" t="s">
        <v>50</v>
      </c>
    </row>
    <row r="7" ht="52.05" customHeight="1" spans="1:48">
      <c r="A7" s="135" t="s">
        <v>78</v>
      </c>
      <c r="B7" s="135" t="s">
        <v>52</v>
      </c>
      <c r="C7" s="135">
        <v>18</v>
      </c>
      <c r="D7" s="135" t="s">
        <v>79</v>
      </c>
      <c r="E7" s="135">
        <v>67</v>
      </c>
      <c r="F7" s="135">
        <v>175</v>
      </c>
      <c r="G7" s="135">
        <f t="shared" si="0"/>
        <v>21.8775510204082</v>
      </c>
      <c r="H7" s="137" t="s">
        <v>54</v>
      </c>
      <c r="I7" s="135" t="s">
        <v>80</v>
      </c>
      <c r="J7" s="135">
        <v>2345</v>
      </c>
      <c r="K7" s="135">
        <v>2000</v>
      </c>
      <c r="L7" s="135">
        <f>2000/J7</f>
        <v>0.852878464818763</v>
      </c>
      <c r="M7" s="135" t="s">
        <v>49</v>
      </c>
      <c r="N7" s="135" t="s">
        <v>56</v>
      </c>
      <c r="O7" s="135">
        <v>4</v>
      </c>
      <c r="P7" s="135" t="s">
        <v>81</v>
      </c>
      <c r="Q7" s="135">
        <f>(258+193)*3</f>
        <v>1353</v>
      </c>
      <c r="R7" s="135">
        <f>400+250</f>
        <v>650</v>
      </c>
      <c r="S7" s="135">
        <f t="shared" si="1"/>
        <v>2003</v>
      </c>
      <c r="T7" s="135">
        <v>1736.86</v>
      </c>
      <c r="U7" s="135">
        <v>2084.232</v>
      </c>
      <c r="V7" s="135">
        <f t="shared" si="2"/>
        <v>0.961025452060999</v>
      </c>
      <c r="W7" s="135" t="s">
        <v>49</v>
      </c>
      <c r="X7" s="135" t="s">
        <v>82</v>
      </c>
      <c r="Y7" s="135" t="s">
        <v>46</v>
      </c>
      <c r="Z7" s="135" t="s">
        <v>72</v>
      </c>
      <c r="AA7" s="135">
        <v>5</v>
      </c>
      <c r="AB7" s="135" t="s">
        <v>81</v>
      </c>
      <c r="AC7" s="135">
        <v>4</v>
      </c>
      <c r="AD7" s="135">
        <f>(2.7*1*4)+(13.5*4)</f>
        <v>64.8</v>
      </c>
      <c r="AE7" s="135">
        <v>80.4</v>
      </c>
      <c r="AF7" s="135">
        <f t="shared" si="3"/>
        <v>0.805970149253731</v>
      </c>
      <c r="AG7" s="135" t="s">
        <v>49</v>
      </c>
      <c r="AH7" s="135" t="s">
        <v>81</v>
      </c>
      <c r="AI7" s="135">
        <v>4</v>
      </c>
      <c r="AJ7" s="135" t="s">
        <v>82</v>
      </c>
      <c r="AK7" s="135">
        <f>(28*1.5*4)+(6*4)+40+54</f>
        <v>286</v>
      </c>
      <c r="AL7" s="135">
        <v>286.5819</v>
      </c>
      <c r="AM7" s="135">
        <f t="shared" si="4"/>
        <v>0.997969515869634</v>
      </c>
      <c r="AN7" s="135" t="s">
        <v>49</v>
      </c>
      <c r="AO7" s="135" t="s">
        <v>81</v>
      </c>
      <c r="AP7" s="135">
        <v>4</v>
      </c>
      <c r="AQ7" s="135" t="s">
        <v>82</v>
      </c>
      <c r="AR7" s="135">
        <f>(0.3*1.5*4)+(12.24*4)+12</f>
        <v>62.76</v>
      </c>
      <c r="AS7" s="135">
        <v>69.4744</v>
      </c>
      <c r="AT7" s="135">
        <f t="shared" si="5"/>
        <v>0.903354329076609</v>
      </c>
      <c r="AU7" s="135" t="s">
        <v>49</v>
      </c>
      <c r="AV7" s="135" t="s">
        <v>50</v>
      </c>
    </row>
    <row r="8" ht="46.05" customHeight="1" spans="1:48">
      <c r="A8" s="135" t="s">
        <v>83</v>
      </c>
      <c r="B8" s="135" t="s">
        <v>37</v>
      </c>
      <c r="C8" s="135">
        <v>20</v>
      </c>
      <c r="D8" s="135" t="s">
        <v>53</v>
      </c>
      <c r="E8" s="135">
        <v>44</v>
      </c>
      <c r="F8" s="135">
        <v>156</v>
      </c>
      <c r="G8" s="135">
        <f t="shared" si="0"/>
        <v>18.0802103879027</v>
      </c>
      <c r="H8" s="138" t="s">
        <v>84</v>
      </c>
      <c r="I8" s="135" t="s">
        <v>85</v>
      </c>
      <c r="J8" s="135">
        <v>1540</v>
      </c>
      <c r="K8" s="135">
        <v>1700</v>
      </c>
      <c r="L8" s="135">
        <f>1700/J8</f>
        <v>1.1038961038961</v>
      </c>
      <c r="M8" s="135" t="s">
        <v>86</v>
      </c>
      <c r="N8" s="135" t="s">
        <v>56</v>
      </c>
      <c r="O8" s="135">
        <v>2</v>
      </c>
      <c r="P8" s="135" t="s">
        <v>87</v>
      </c>
      <c r="Q8" s="135">
        <f>(258+70+153)*2</f>
        <v>962</v>
      </c>
      <c r="R8" s="135">
        <f>125+250</f>
        <v>375</v>
      </c>
      <c r="S8" s="135">
        <f t="shared" si="1"/>
        <v>1337</v>
      </c>
      <c r="T8" s="135">
        <v>1264.2</v>
      </c>
      <c r="U8" s="135">
        <v>1320</v>
      </c>
      <c r="V8" s="135">
        <f t="shared" si="2"/>
        <v>1.01287878787879</v>
      </c>
      <c r="W8" s="135" t="s">
        <v>49</v>
      </c>
      <c r="X8" s="135" t="s">
        <v>88</v>
      </c>
      <c r="Y8" s="135" t="s">
        <v>50</v>
      </c>
      <c r="Z8" s="135" t="s">
        <v>47</v>
      </c>
      <c r="AA8" s="141" t="s">
        <v>89</v>
      </c>
      <c r="AB8" s="135" t="s">
        <v>87</v>
      </c>
      <c r="AC8" s="135">
        <v>2</v>
      </c>
      <c r="AD8" s="135">
        <f>(2.7*2*2)+(11)+(2.9*2)+(11*2)</f>
        <v>49.6</v>
      </c>
      <c r="AE8" s="135">
        <v>52.8</v>
      </c>
      <c r="AF8" s="135">
        <f t="shared" si="3"/>
        <v>0.939393939393939</v>
      </c>
      <c r="AG8" s="135" t="s">
        <v>49</v>
      </c>
      <c r="AH8" s="135" t="s">
        <v>87</v>
      </c>
      <c r="AI8" s="135">
        <v>2</v>
      </c>
      <c r="AJ8" s="135" t="s">
        <v>88</v>
      </c>
      <c r="AK8" s="135">
        <f>(28*2*2)+(6*2)+(0.6*2)+(13*2)+61+12</f>
        <v>224.2</v>
      </c>
      <c r="AL8" s="135">
        <v>214.5</v>
      </c>
      <c r="AM8" s="135">
        <f t="shared" si="4"/>
        <v>1.04522144522145</v>
      </c>
      <c r="AN8" s="135" t="s">
        <v>49</v>
      </c>
      <c r="AO8" s="135" t="s">
        <v>87</v>
      </c>
      <c r="AP8" s="135">
        <v>2</v>
      </c>
      <c r="AQ8" s="135" t="s">
        <v>88</v>
      </c>
      <c r="AR8" s="135">
        <f>(0.3*2*2)+(12.24*2)+(0.5*2)+15+22</f>
        <v>63.68</v>
      </c>
      <c r="AS8" s="135">
        <v>44</v>
      </c>
      <c r="AT8" s="135">
        <f t="shared" si="5"/>
        <v>1.44727272727273</v>
      </c>
      <c r="AU8" s="135" t="s">
        <v>44</v>
      </c>
      <c r="AV8" s="135" t="s">
        <v>50</v>
      </c>
    </row>
    <row r="9" ht="57" customHeight="1" spans="1:48">
      <c r="A9" s="135" t="s">
        <v>90</v>
      </c>
      <c r="B9" s="135" t="s">
        <v>37</v>
      </c>
      <c r="C9" s="135">
        <v>19</v>
      </c>
      <c r="D9" s="135" t="s">
        <v>91</v>
      </c>
      <c r="E9" s="135">
        <v>53</v>
      </c>
      <c r="F9" s="135">
        <v>167</v>
      </c>
      <c r="G9" s="135">
        <f t="shared" si="0"/>
        <v>19.0039083509627</v>
      </c>
      <c r="H9" s="137" t="s">
        <v>54</v>
      </c>
      <c r="I9" s="135" t="s">
        <v>92</v>
      </c>
      <c r="J9" s="135">
        <v>1855</v>
      </c>
      <c r="K9" s="135">
        <v>2100</v>
      </c>
      <c r="L9" s="135">
        <f>2000/J9</f>
        <v>1.07816711590296</v>
      </c>
      <c r="M9" s="135" t="s">
        <v>86</v>
      </c>
      <c r="N9" s="135" t="s">
        <v>42</v>
      </c>
      <c r="O9" s="135">
        <v>2</v>
      </c>
      <c r="P9" s="135" t="s">
        <v>93</v>
      </c>
      <c r="Q9" s="135">
        <f>(258+193+75)*2</f>
        <v>1052</v>
      </c>
      <c r="R9" s="135"/>
      <c r="S9" s="135">
        <f t="shared" si="1"/>
        <v>1052</v>
      </c>
      <c r="T9" s="135">
        <v>1375.1</v>
      </c>
      <c r="U9" s="135">
        <v>1590</v>
      </c>
      <c r="V9" s="135">
        <f t="shared" si="2"/>
        <v>0.661635220125786</v>
      </c>
      <c r="W9" s="135" t="s">
        <v>58</v>
      </c>
      <c r="X9" s="135" t="s">
        <v>66</v>
      </c>
      <c r="Y9" s="135" t="s">
        <v>46</v>
      </c>
      <c r="Z9" s="135" t="s">
        <v>47</v>
      </c>
      <c r="AA9" s="135" t="s">
        <v>94</v>
      </c>
      <c r="AB9" s="135" t="s">
        <v>93</v>
      </c>
      <c r="AC9" s="135">
        <v>2</v>
      </c>
      <c r="AD9" s="135">
        <f>(2.7*2*2)+(13.5*2)</f>
        <v>37.8</v>
      </c>
      <c r="AE9" s="135">
        <v>63.6</v>
      </c>
      <c r="AF9" s="135">
        <f t="shared" si="3"/>
        <v>0.594339622641509</v>
      </c>
      <c r="AG9" s="135" t="s">
        <v>58</v>
      </c>
      <c r="AH9" s="135" t="s">
        <v>93</v>
      </c>
      <c r="AI9" s="135">
        <v>2</v>
      </c>
      <c r="AJ9" s="135" t="s">
        <v>66</v>
      </c>
      <c r="AK9" s="135">
        <f>(28*2*3)+(0.6*3)+(6*3)+(13*3)+40+12</f>
        <v>278.8</v>
      </c>
      <c r="AL9" s="135">
        <v>218.625</v>
      </c>
      <c r="AM9" s="135">
        <f t="shared" si="4"/>
        <v>1.27524299599771</v>
      </c>
      <c r="AN9" s="135" t="s">
        <v>44</v>
      </c>
      <c r="AO9" s="135" t="s">
        <v>93</v>
      </c>
      <c r="AP9" s="135">
        <v>2</v>
      </c>
      <c r="AQ9" s="135" t="s">
        <v>66</v>
      </c>
      <c r="AR9" s="135">
        <f>(0.3*2*2)+(12.24*2)+(0.5*2)+31</f>
        <v>57.68</v>
      </c>
      <c r="AS9" s="135">
        <v>53</v>
      </c>
      <c r="AT9" s="135">
        <f t="shared" si="5"/>
        <v>1.08830188679245</v>
      </c>
      <c r="AU9" s="135" t="s">
        <v>49</v>
      </c>
      <c r="AV9" s="135" t="s">
        <v>50</v>
      </c>
    </row>
    <row r="10" ht="54" customHeight="1" spans="1:48">
      <c r="A10" s="139" t="s">
        <v>95</v>
      </c>
      <c r="B10" s="135" t="s">
        <v>37</v>
      </c>
      <c r="C10" s="135">
        <v>20</v>
      </c>
      <c r="D10" s="135" t="s">
        <v>75</v>
      </c>
      <c r="E10" s="135">
        <v>52</v>
      </c>
      <c r="F10" s="135">
        <v>160</v>
      </c>
      <c r="G10" s="135">
        <f t="shared" si="0"/>
        <v>20.3125</v>
      </c>
      <c r="H10" s="139" t="s">
        <v>54</v>
      </c>
      <c r="I10" s="139" t="s">
        <v>80</v>
      </c>
      <c r="J10" s="135">
        <f>E10*30</f>
        <v>1560</v>
      </c>
      <c r="K10" s="139">
        <v>2000</v>
      </c>
      <c r="L10" s="139">
        <f>2000/J10</f>
        <v>1.28205128205128</v>
      </c>
      <c r="M10" s="139" t="s">
        <v>86</v>
      </c>
      <c r="N10" s="139" t="s">
        <v>56</v>
      </c>
      <c r="O10" s="139">
        <v>3</v>
      </c>
      <c r="P10" s="135" t="s">
        <v>96</v>
      </c>
      <c r="Q10" s="135">
        <f>(129+70+193+45)*3</f>
        <v>1311</v>
      </c>
      <c r="R10" s="139">
        <v>210</v>
      </c>
      <c r="S10" s="135">
        <f t="shared" si="1"/>
        <v>1521</v>
      </c>
      <c r="T10" s="139">
        <f>52*25</f>
        <v>1300</v>
      </c>
      <c r="U10" s="139">
        <f>1.2*T10</f>
        <v>1560</v>
      </c>
      <c r="V10" s="139">
        <f t="shared" si="2"/>
        <v>0.975</v>
      </c>
      <c r="W10" s="139" t="s">
        <v>49</v>
      </c>
      <c r="X10" s="139" t="s">
        <v>97</v>
      </c>
      <c r="Y10" s="139" t="s">
        <v>50</v>
      </c>
      <c r="Z10" s="135" t="s">
        <v>72</v>
      </c>
      <c r="AA10" s="139" t="s">
        <v>98</v>
      </c>
      <c r="AB10" s="135" t="s">
        <v>99</v>
      </c>
      <c r="AC10" s="139">
        <v>3</v>
      </c>
      <c r="AD10" s="135">
        <f>(2.7*1*3)+(13.5*3)+(2.9*2)+(5.5*3)</f>
        <v>70.9</v>
      </c>
      <c r="AE10" s="139">
        <f>1.2*E10</f>
        <v>62.4</v>
      </c>
      <c r="AF10" s="135">
        <f t="shared" si="3"/>
        <v>1.13621794871795</v>
      </c>
      <c r="AG10" s="139" t="s">
        <v>44</v>
      </c>
      <c r="AH10" s="135" t="s">
        <v>99</v>
      </c>
      <c r="AI10" s="139">
        <v>3</v>
      </c>
      <c r="AJ10" s="139" t="s">
        <v>97</v>
      </c>
      <c r="AK10" s="135">
        <f>(28*1*3)+(13*2)+61+(13*3)</f>
        <v>210</v>
      </c>
      <c r="AL10" s="139">
        <f>(U10*55%)/4</f>
        <v>214.5</v>
      </c>
      <c r="AM10" s="139">
        <f t="shared" si="4"/>
        <v>0.979020979020979</v>
      </c>
      <c r="AN10" s="139" t="s">
        <v>49</v>
      </c>
      <c r="AO10" s="135" t="s">
        <v>99</v>
      </c>
      <c r="AP10" s="139">
        <v>3</v>
      </c>
      <c r="AQ10" s="139" t="s">
        <v>97</v>
      </c>
      <c r="AR10" s="135">
        <f>(0.3*1*3)+(12.24*2)+(0.5*3)+31</f>
        <v>57.88</v>
      </c>
      <c r="AS10" s="135">
        <f>(30%*U10)/9</f>
        <v>52</v>
      </c>
      <c r="AT10" s="139">
        <f t="shared" si="5"/>
        <v>1.11307692307692</v>
      </c>
      <c r="AU10" s="139" t="s">
        <v>44</v>
      </c>
      <c r="AV10" s="139" t="s">
        <v>50</v>
      </c>
    </row>
    <row r="11" ht="61.95" customHeight="1" spans="1:48">
      <c r="A11" s="139" t="s">
        <v>100</v>
      </c>
      <c r="B11" s="139" t="s">
        <v>52</v>
      </c>
      <c r="C11" s="135">
        <v>22</v>
      </c>
      <c r="D11" s="135" t="s">
        <v>68</v>
      </c>
      <c r="E11" s="139">
        <v>65</v>
      </c>
      <c r="F11" s="139">
        <v>170</v>
      </c>
      <c r="G11" s="135">
        <f t="shared" si="0"/>
        <v>22.4913494809689</v>
      </c>
      <c r="H11" s="139" t="s">
        <v>54</v>
      </c>
      <c r="I11" s="139" t="s">
        <v>101</v>
      </c>
      <c r="J11" s="135">
        <f>E11*30</f>
        <v>1950</v>
      </c>
      <c r="K11" s="139">
        <v>1500</v>
      </c>
      <c r="L11" s="139">
        <f>1500/J11</f>
        <v>0.769230769230769</v>
      </c>
      <c r="M11" s="139" t="s">
        <v>49</v>
      </c>
      <c r="N11" s="135" t="s">
        <v>56</v>
      </c>
      <c r="O11" s="139">
        <v>3</v>
      </c>
      <c r="P11" s="135" t="s">
        <v>102</v>
      </c>
      <c r="Q11" s="135">
        <f>(258+70+193)*3</f>
        <v>1563</v>
      </c>
      <c r="R11" s="139">
        <v>500</v>
      </c>
      <c r="S11" s="135">
        <f t="shared" si="1"/>
        <v>2063</v>
      </c>
      <c r="T11" s="139">
        <f>30*65</f>
        <v>1950</v>
      </c>
      <c r="U11" s="139">
        <f>T11*1.2</f>
        <v>2340</v>
      </c>
      <c r="V11" s="139">
        <f t="shared" si="2"/>
        <v>0.881623931623932</v>
      </c>
      <c r="W11" s="139" t="s">
        <v>49</v>
      </c>
      <c r="X11" s="139" t="s">
        <v>97</v>
      </c>
      <c r="Y11" s="139" t="s">
        <v>50</v>
      </c>
      <c r="Z11" s="139" t="s">
        <v>47</v>
      </c>
      <c r="AA11" s="135" t="s">
        <v>73</v>
      </c>
      <c r="AB11" s="135" t="s">
        <v>102</v>
      </c>
      <c r="AC11" s="139">
        <v>3</v>
      </c>
      <c r="AD11" s="135">
        <f>(2.7*2*3)+(13.5*3)+(2.9*2)</f>
        <v>62.5</v>
      </c>
      <c r="AE11" s="139">
        <f>65*1.2</f>
        <v>78</v>
      </c>
      <c r="AF11" s="135">
        <f t="shared" si="3"/>
        <v>0.801282051282051</v>
      </c>
      <c r="AG11" s="139" t="s">
        <v>49</v>
      </c>
      <c r="AH11" s="135" t="s">
        <v>102</v>
      </c>
      <c r="AI11" s="139">
        <v>3</v>
      </c>
      <c r="AJ11" s="139" t="s">
        <v>97</v>
      </c>
      <c r="AK11" s="135">
        <f>(28*2*3)+(13*2)+61</f>
        <v>255</v>
      </c>
      <c r="AL11" s="139">
        <f>(U11*55%)/4</f>
        <v>321.75</v>
      </c>
      <c r="AM11" s="139">
        <f t="shared" si="4"/>
        <v>0.792540792540793</v>
      </c>
      <c r="AN11" s="139" t="s">
        <v>49</v>
      </c>
      <c r="AO11" s="135" t="s">
        <v>102</v>
      </c>
      <c r="AP11" s="139">
        <v>3</v>
      </c>
      <c r="AQ11" s="139" t="s">
        <v>97</v>
      </c>
      <c r="AR11" s="135">
        <f>(0.3*2*3)+(12.24*3)+(0.5*3)+31</f>
        <v>71.02</v>
      </c>
      <c r="AS11" s="135">
        <f>(30%*U11)/9</f>
        <v>78</v>
      </c>
      <c r="AT11" s="139">
        <f t="shared" si="5"/>
        <v>0.91051282051282</v>
      </c>
      <c r="AU11" s="139" t="s">
        <v>49</v>
      </c>
      <c r="AV11" s="139" t="s">
        <v>50</v>
      </c>
    </row>
    <row r="12" ht="63" customHeight="1" spans="1:48">
      <c r="A12" s="135" t="s">
        <v>103</v>
      </c>
      <c r="B12" s="135" t="s">
        <v>37</v>
      </c>
      <c r="C12" s="135">
        <v>19</v>
      </c>
      <c r="D12" s="135" t="s">
        <v>68</v>
      </c>
      <c r="E12" s="135">
        <v>42</v>
      </c>
      <c r="F12" s="135">
        <v>152</v>
      </c>
      <c r="G12" s="135">
        <f t="shared" si="0"/>
        <v>18.1786703601108</v>
      </c>
      <c r="H12" s="138" t="s">
        <v>84</v>
      </c>
      <c r="I12" s="135" t="s">
        <v>104</v>
      </c>
      <c r="J12" s="135">
        <v>1470</v>
      </c>
      <c r="K12" s="135">
        <v>1000</v>
      </c>
      <c r="L12" s="135">
        <f>600/J12</f>
        <v>0.408163265306122</v>
      </c>
      <c r="M12" s="135" t="s">
        <v>41</v>
      </c>
      <c r="N12" s="135" t="s">
        <v>56</v>
      </c>
      <c r="O12" s="135">
        <v>3</v>
      </c>
      <c r="P12" s="135" t="s">
        <v>105</v>
      </c>
      <c r="Q12" s="135">
        <f>(129+193+50)*3</f>
        <v>1116</v>
      </c>
      <c r="R12" s="135">
        <v>250</v>
      </c>
      <c r="S12" s="135">
        <f t="shared" si="1"/>
        <v>1366</v>
      </c>
      <c r="T12" s="135">
        <v>1242.5</v>
      </c>
      <c r="U12" s="135">
        <v>1260</v>
      </c>
      <c r="V12" s="135">
        <f t="shared" si="2"/>
        <v>1.08412698412698</v>
      </c>
      <c r="W12" s="135" t="s">
        <v>49</v>
      </c>
      <c r="X12" s="135" t="s">
        <v>66</v>
      </c>
      <c r="Y12" s="135" t="s">
        <v>46</v>
      </c>
      <c r="Z12" s="135" t="s">
        <v>47</v>
      </c>
      <c r="AA12" s="135" t="s">
        <v>106</v>
      </c>
      <c r="AB12" s="135" t="s">
        <v>107</v>
      </c>
      <c r="AC12" s="135">
        <v>3</v>
      </c>
      <c r="AD12" s="135">
        <f>(2.7*1*3)+(13.5*3)+(2.9*2)</f>
        <v>54.4</v>
      </c>
      <c r="AE12" s="135">
        <v>50.4</v>
      </c>
      <c r="AF12" s="135">
        <f t="shared" si="3"/>
        <v>1.07936507936508</v>
      </c>
      <c r="AG12" s="135" t="s">
        <v>49</v>
      </c>
      <c r="AH12" s="135" t="s">
        <v>107</v>
      </c>
      <c r="AI12" s="135">
        <v>3</v>
      </c>
      <c r="AJ12" s="135" t="s">
        <v>66</v>
      </c>
      <c r="AK12" s="135">
        <f>(28*1*3)+(6*3)+(6.5*3)+40</f>
        <v>161.5</v>
      </c>
      <c r="AL12" s="135">
        <v>204.75</v>
      </c>
      <c r="AM12" s="135">
        <f t="shared" si="4"/>
        <v>0.788766788766789</v>
      </c>
      <c r="AN12" s="135" t="s">
        <v>49</v>
      </c>
      <c r="AO12" s="135" t="s">
        <v>107</v>
      </c>
      <c r="AP12" s="135">
        <v>3</v>
      </c>
      <c r="AQ12" s="135" t="s">
        <v>66</v>
      </c>
      <c r="AR12" s="135">
        <f>(0.3*1*3)+(12.24*2)+(0.5*3)+10</f>
        <v>36.88</v>
      </c>
      <c r="AS12" s="135">
        <v>42</v>
      </c>
      <c r="AT12" s="135">
        <f t="shared" si="5"/>
        <v>0.878095238095238</v>
      </c>
      <c r="AU12" s="135" t="s">
        <v>49</v>
      </c>
      <c r="AV12" s="135" t="s">
        <v>50</v>
      </c>
    </row>
    <row r="13" ht="43.95" customHeight="1" spans="1:48">
      <c r="A13" s="135" t="s">
        <v>108</v>
      </c>
      <c r="B13" s="135" t="s">
        <v>37</v>
      </c>
      <c r="C13" s="135">
        <v>19</v>
      </c>
      <c r="D13" s="135" t="s">
        <v>109</v>
      </c>
      <c r="E13" s="135">
        <v>50</v>
      </c>
      <c r="F13" s="135">
        <v>160</v>
      </c>
      <c r="G13" s="135">
        <f t="shared" si="0"/>
        <v>19.53125</v>
      </c>
      <c r="H13" s="137" t="s">
        <v>54</v>
      </c>
      <c r="I13" s="135" t="s">
        <v>110</v>
      </c>
      <c r="J13" s="135">
        <v>1750</v>
      </c>
      <c r="K13" s="135">
        <v>2000</v>
      </c>
      <c r="L13" s="135">
        <f>1500/J13</f>
        <v>0.857142857142857</v>
      </c>
      <c r="M13" s="135" t="s">
        <v>111</v>
      </c>
      <c r="N13" s="135" t="s">
        <v>56</v>
      </c>
      <c r="O13" s="135">
        <v>2</v>
      </c>
      <c r="P13" s="135" t="s">
        <v>112</v>
      </c>
      <c r="Q13" s="135">
        <f>(129+64.5+165+70+35)*2</f>
        <v>927</v>
      </c>
      <c r="R13" s="135">
        <v>600</v>
      </c>
      <c r="S13" s="135">
        <f t="shared" si="1"/>
        <v>1527</v>
      </c>
      <c r="T13" s="135">
        <v>1333.7</v>
      </c>
      <c r="U13" s="135">
        <v>1500</v>
      </c>
      <c r="V13" s="135">
        <f t="shared" si="2"/>
        <v>1.018</v>
      </c>
      <c r="W13" s="135" t="s">
        <v>49</v>
      </c>
      <c r="X13" s="135" t="s">
        <v>113</v>
      </c>
      <c r="Y13" s="135" t="s">
        <v>46</v>
      </c>
      <c r="Z13" s="135" t="s">
        <v>47</v>
      </c>
      <c r="AA13" s="135" t="s">
        <v>114</v>
      </c>
      <c r="AB13" s="135" t="s">
        <v>112</v>
      </c>
      <c r="AC13" s="135">
        <v>2</v>
      </c>
      <c r="AD13" s="135">
        <f>(2.7*1.5*2)+(11*2)+(2*2)</f>
        <v>34.1</v>
      </c>
      <c r="AE13" s="135">
        <v>60</v>
      </c>
      <c r="AF13" s="135">
        <f t="shared" si="3"/>
        <v>0.568333333333333</v>
      </c>
      <c r="AG13" s="135" t="s">
        <v>58</v>
      </c>
      <c r="AH13" s="135" t="s">
        <v>112</v>
      </c>
      <c r="AI13" s="135">
        <v>2</v>
      </c>
      <c r="AJ13" s="135" t="s">
        <v>113</v>
      </c>
      <c r="AK13" s="135">
        <f>(28*1.5*2)+(0.6*2)+(6*2)+(13*2)+40+12+61+32+20</f>
        <v>288.2</v>
      </c>
      <c r="AL13" s="135">
        <v>206.25</v>
      </c>
      <c r="AM13" s="135">
        <f t="shared" si="4"/>
        <v>1.39733333333333</v>
      </c>
      <c r="AN13" s="135" t="s">
        <v>44</v>
      </c>
      <c r="AO13" s="135" t="s">
        <v>112</v>
      </c>
      <c r="AP13" s="135">
        <v>2</v>
      </c>
      <c r="AQ13" s="135" t="s">
        <v>113</v>
      </c>
      <c r="AR13" s="135">
        <f>(0.3*1.5*3)+(6*2)+(12.24*2)+(0.5*2)+31+11+6</f>
        <v>86.83</v>
      </c>
      <c r="AS13" s="135">
        <v>50</v>
      </c>
      <c r="AT13" s="135">
        <f t="shared" si="5"/>
        <v>1.7366</v>
      </c>
      <c r="AU13" s="135" t="s">
        <v>44</v>
      </c>
      <c r="AV13" s="135" t="s">
        <v>50</v>
      </c>
    </row>
    <row r="14" ht="61.95" customHeight="1" spans="1:48">
      <c r="A14" s="135" t="s">
        <v>115</v>
      </c>
      <c r="B14" s="135" t="s">
        <v>52</v>
      </c>
      <c r="C14" s="139">
        <v>23</v>
      </c>
      <c r="D14" s="135" t="s">
        <v>116</v>
      </c>
      <c r="E14" s="135">
        <v>75</v>
      </c>
      <c r="F14" s="135">
        <v>175</v>
      </c>
      <c r="G14" s="135">
        <f t="shared" si="0"/>
        <v>24.4897959183673</v>
      </c>
      <c r="H14" s="137" t="s">
        <v>117</v>
      </c>
      <c r="I14" s="135">
        <v>2</v>
      </c>
      <c r="J14" s="135">
        <v>2625</v>
      </c>
      <c r="K14" s="135">
        <v>2000</v>
      </c>
      <c r="L14" s="135">
        <f>2000/J14</f>
        <v>0.761904761904762</v>
      </c>
      <c r="M14" s="135" t="s">
        <v>111</v>
      </c>
      <c r="N14" s="135" t="s">
        <v>56</v>
      </c>
      <c r="O14" s="135">
        <v>1</v>
      </c>
      <c r="P14" s="135" t="s">
        <v>118</v>
      </c>
      <c r="Q14" s="135">
        <f>350+175+120</f>
        <v>645</v>
      </c>
      <c r="R14" s="135">
        <v>100</v>
      </c>
      <c r="S14" s="135">
        <f t="shared" si="1"/>
        <v>745</v>
      </c>
      <c r="T14" s="135">
        <v>1812.56</v>
      </c>
      <c r="U14" s="135">
        <v>2175.072</v>
      </c>
      <c r="V14" s="135">
        <f t="shared" si="2"/>
        <v>0.342517397125245</v>
      </c>
      <c r="W14" s="135" t="s">
        <v>41</v>
      </c>
      <c r="X14" s="135" t="s">
        <v>119</v>
      </c>
      <c r="Y14" s="135" t="s">
        <v>46</v>
      </c>
      <c r="Z14" s="135" t="s">
        <v>47</v>
      </c>
      <c r="AA14" s="141" t="s">
        <v>120</v>
      </c>
      <c r="AB14" s="135" t="s">
        <v>118</v>
      </c>
      <c r="AC14" s="135">
        <v>1</v>
      </c>
      <c r="AD14" s="135">
        <f>(2.7*1)+(11)+12</f>
        <v>25.7</v>
      </c>
      <c r="AE14" s="135">
        <v>90</v>
      </c>
      <c r="AF14" s="135">
        <f t="shared" si="3"/>
        <v>0.285555555555556</v>
      </c>
      <c r="AG14" s="135" t="s">
        <v>41</v>
      </c>
      <c r="AH14" s="135" t="s">
        <v>118</v>
      </c>
      <c r="AI14" s="135">
        <v>1</v>
      </c>
      <c r="AJ14" s="135" t="s">
        <v>119</v>
      </c>
      <c r="AK14" s="135">
        <f>(40*1*1)+12+54+12+20</f>
        <v>138</v>
      </c>
      <c r="AL14" s="135">
        <v>299.0724</v>
      </c>
      <c r="AM14" s="135">
        <f t="shared" si="4"/>
        <v>0.461426731453655</v>
      </c>
      <c r="AN14" s="135" t="s">
        <v>58</v>
      </c>
      <c r="AO14" s="135" t="s">
        <v>118</v>
      </c>
      <c r="AP14" s="135">
        <v>1</v>
      </c>
      <c r="AQ14" s="135" t="s">
        <v>119</v>
      </c>
      <c r="AR14" s="135">
        <f>(0.3*2*1)+(12.24*1)+(0.5*1)+14+5</f>
        <v>32.34</v>
      </c>
      <c r="AS14" s="135">
        <v>72.5024</v>
      </c>
      <c r="AT14" s="135">
        <f t="shared" si="5"/>
        <v>0.446054199585117</v>
      </c>
      <c r="AU14" s="135" t="s">
        <v>41</v>
      </c>
      <c r="AV14" s="135" t="s">
        <v>50</v>
      </c>
    </row>
    <row r="15" ht="55.05" customHeight="1" spans="1:48">
      <c r="A15" s="135" t="s">
        <v>121</v>
      </c>
      <c r="B15" s="135" t="s">
        <v>37</v>
      </c>
      <c r="C15" s="135">
        <v>17</v>
      </c>
      <c r="D15" s="135" t="s">
        <v>122</v>
      </c>
      <c r="E15" s="135">
        <v>47</v>
      </c>
      <c r="F15" s="135">
        <v>160</v>
      </c>
      <c r="G15" s="135">
        <f t="shared" si="0"/>
        <v>18.359375</v>
      </c>
      <c r="H15" s="137" t="s">
        <v>54</v>
      </c>
      <c r="I15" s="135" t="s">
        <v>123</v>
      </c>
      <c r="J15" s="135">
        <v>1645</v>
      </c>
      <c r="K15" s="135">
        <v>2400</v>
      </c>
      <c r="L15" s="135">
        <f>2400/J15</f>
        <v>1.45896656534954</v>
      </c>
      <c r="M15" s="135" t="s">
        <v>86</v>
      </c>
      <c r="N15" s="135" t="s">
        <v>56</v>
      </c>
      <c r="O15" s="135">
        <v>3</v>
      </c>
      <c r="P15" s="135" t="s">
        <v>124</v>
      </c>
      <c r="Q15" s="135">
        <f>(65+350+165)*3</f>
        <v>1740</v>
      </c>
      <c r="R15" s="135">
        <v>310</v>
      </c>
      <c r="S15" s="135">
        <f t="shared" si="1"/>
        <v>2050</v>
      </c>
      <c r="T15" s="135">
        <v>1314.3</v>
      </c>
      <c r="U15" s="135">
        <v>1410</v>
      </c>
      <c r="V15" s="135">
        <f t="shared" si="2"/>
        <v>1.45390070921986</v>
      </c>
      <c r="W15" s="135" t="s">
        <v>44</v>
      </c>
      <c r="X15" s="135" t="s">
        <v>125</v>
      </c>
      <c r="Y15" s="135" t="s">
        <v>46</v>
      </c>
      <c r="Z15" s="135" t="s">
        <v>72</v>
      </c>
      <c r="AA15" s="135" t="s">
        <v>126</v>
      </c>
      <c r="AB15" s="135" t="s">
        <v>124</v>
      </c>
      <c r="AC15" s="135">
        <v>3</v>
      </c>
      <c r="AD15" s="135">
        <f>(2.7*0.25*3)+(2.9*3)+(11*2)+12</f>
        <v>44.725</v>
      </c>
      <c r="AE15" s="135">
        <v>56.4</v>
      </c>
      <c r="AF15" s="135">
        <f t="shared" si="3"/>
        <v>0.792996453900709</v>
      </c>
      <c r="AG15" s="135" t="s">
        <v>49</v>
      </c>
      <c r="AH15" s="135" t="s">
        <v>124</v>
      </c>
      <c r="AI15" s="135">
        <v>3</v>
      </c>
      <c r="AJ15" s="135" t="s">
        <v>125</v>
      </c>
      <c r="AK15" s="135">
        <f>(28*0.25*3)+(0.6*3)++(13*3)+40+61</f>
        <v>162.8</v>
      </c>
      <c r="AL15" s="135">
        <v>193.875</v>
      </c>
      <c r="AM15" s="135">
        <f t="shared" si="4"/>
        <v>0.839716312056738</v>
      </c>
      <c r="AN15" s="135" t="s">
        <v>49</v>
      </c>
      <c r="AO15" s="135" t="s">
        <v>124</v>
      </c>
      <c r="AP15" s="135">
        <v>3</v>
      </c>
      <c r="AQ15" s="135" t="s">
        <v>125</v>
      </c>
      <c r="AR15" s="135">
        <f>(0.3*0.25*3)+(12.24*2)+(0.5*2)+31+12</f>
        <v>68.705</v>
      </c>
      <c r="AS15" s="135">
        <v>47</v>
      </c>
      <c r="AT15" s="135">
        <f t="shared" si="5"/>
        <v>1.4618085106383</v>
      </c>
      <c r="AU15" s="135" t="s">
        <v>44</v>
      </c>
      <c r="AV15" s="135" t="s">
        <v>50</v>
      </c>
    </row>
    <row r="16" ht="90" customHeight="1" spans="1:48">
      <c r="A16" s="135" t="s">
        <v>127</v>
      </c>
      <c r="B16" s="135" t="s">
        <v>52</v>
      </c>
      <c r="C16" s="135">
        <v>19</v>
      </c>
      <c r="D16" s="135" t="s">
        <v>128</v>
      </c>
      <c r="E16" s="135">
        <v>76</v>
      </c>
      <c r="F16" s="135">
        <v>180</v>
      </c>
      <c r="G16" s="135">
        <f t="shared" si="0"/>
        <v>23.4567901234568</v>
      </c>
      <c r="H16" s="137" t="s">
        <v>117</v>
      </c>
      <c r="I16" s="135" t="s">
        <v>129</v>
      </c>
      <c r="J16" s="135">
        <v>2660</v>
      </c>
      <c r="K16" s="135">
        <v>3000</v>
      </c>
      <c r="L16" s="135">
        <f>3000/J16</f>
        <v>1.12781954887218</v>
      </c>
      <c r="M16" s="135" t="s">
        <v>86</v>
      </c>
      <c r="N16" s="135" t="s">
        <v>42</v>
      </c>
      <c r="O16" s="135">
        <v>2</v>
      </c>
      <c r="P16" s="135" t="s">
        <v>130</v>
      </c>
      <c r="Q16" s="135">
        <f>(175+135+70+70+100)*2</f>
        <v>1100</v>
      </c>
      <c r="R16" s="135">
        <v>250</v>
      </c>
      <c r="S16" s="135">
        <f t="shared" si="1"/>
        <v>1350</v>
      </c>
      <c r="T16" s="135">
        <v>1878.38</v>
      </c>
      <c r="U16" s="135">
        <v>2254.056</v>
      </c>
      <c r="V16" s="135">
        <f t="shared" si="2"/>
        <v>0.598920346255816</v>
      </c>
      <c r="W16" s="135" t="s">
        <v>58</v>
      </c>
      <c r="X16" s="135" t="s">
        <v>131</v>
      </c>
      <c r="Y16" s="135" t="s">
        <v>50</v>
      </c>
      <c r="Z16" s="135" t="s">
        <v>47</v>
      </c>
      <c r="AA16" s="135" t="s">
        <v>132</v>
      </c>
      <c r="AB16" s="135" t="s">
        <v>130</v>
      </c>
      <c r="AC16" s="135">
        <v>2</v>
      </c>
      <c r="AD16" s="135">
        <f>(2.7*1*2)+(11*2)+(2.9*2)+12</f>
        <v>45.2</v>
      </c>
      <c r="AE16" s="135">
        <v>91.2</v>
      </c>
      <c r="AF16" s="135">
        <f t="shared" si="3"/>
        <v>0.495614035087719</v>
      </c>
      <c r="AG16" s="135" t="s">
        <v>41</v>
      </c>
      <c r="AH16" s="135" t="s">
        <v>130</v>
      </c>
      <c r="AI16" s="135">
        <v>2</v>
      </c>
      <c r="AJ16" s="135" t="s">
        <v>131</v>
      </c>
      <c r="AK16" s="135">
        <f>(28*1*2)+(0.6*3)+(13*3)+10+(54*2)+24+12</f>
        <v>250.8</v>
      </c>
      <c r="AL16" s="135">
        <v>309.9327</v>
      </c>
      <c r="AM16" s="135">
        <f t="shared" si="4"/>
        <v>0.809207934496747</v>
      </c>
      <c r="AN16" s="135" t="s">
        <v>49</v>
      </c>
      <c r="AO16" s="135" t="s">
        <v>130</v>
      </c>
      <c r="AP16" s="135">
        <v>2</v>
      </c>
      <c r="AQ16" s="135" t="s">
        <v>131</v>
      </c>
      <c r="AR16" s="135">
        <f>(0.3*1*2)+(12.24*2)+(0.5*2)+14+11</f>
        <v>51.08</v>
      </c>
      <c r="AS16" s="135">
        <v>75.1352</v>
      </c>
      <c r="AT16" s="135">
        <f t="shared" si="5"/>
        <v>0.679841139705491</v>
      </c>
      <c r="AU16" s="135" t="s">
        <v>49</v>
      </c>
      <c r="AV16" s="135" t="s">
        <v>50</v>
      </c>
    </row>
    <row r="17" ht="91.05" customHeight="1" spans="1:48">
      <c r="A17" s="135" t="s">
        <v>133</v>
      </c>
      <c r="B17" s="135" t="s">
        <v>37</v>
      </c>
      <c r="C17" s="135">
        <v>18</v>
      </c>
      <c r="D17" s="135">
        <v>20</v>
      </c>
      <c r="E17" s="135">
        <v>60</v>
      </c>
      <c r="F17" s="135">
        <v>164</v>
      </c>
      <c r="G17" s="135">
        <f t="shared" si="0"/>
        <v>22.3081499107674</v>
      </c>
      <c r="H17" s="137" t="s">
        <v>54</v>
      </c>
      <c r="I17" s="135" t="s">
        <v>134</v>
      </c>
      <c r="J17" s="135">
        <v>2100</v>
      </c>
      <c r="K17" s="135">
        <v>1500</v>
      </c>
      <c r="L17" s="135">
        <f>1500/J17</f>
        <v>0.714285714285714</v>
      </c>
      <c r="M17" s="135" t="s">
        <v>111</v>
      </c>
      <c r="N17" s="135" t="s">
        <v>56</v>
      </c>
      <c r="O17" s="135">
        <v>2</v>
      </c>
      <c r="P17" s="135" t="s">
        <v>135</v>
      </c>
      <c r="Q17" s="135">
        <f>(129+50+135+100)*2</f>
        <v>828</v>
      </c>
      <c r="R17" s="135">
        <v>500</v>
      </c>
      <c r="S17" s="135">
        <f t="shared" si="1"/>
        <v>1328</v>
      </c>
      <c r="T17" s="135">
        <v>1441.6</v>
      </c>
      <c r="U17" s="135">
        <v>1800</v>
      </c>
      <c r="V17" s="135">
        <f t="shared" si="2"/>
        <v>0.737777777777778</v>
      </c>
      <c r="W17" s="135" t="s">
        <v>49</v>
      </c>
      <c r="X17" s="135" t="s">
        <v>136</v>
      </c>
      <c r="Y17" s="135" t="s">
        <v>46</v>
      </c>
      <c r="Z17" s="135" t="s">
        <v>47</v>
      </c>
      <c r="AA17" s="135" t="s">
        <v>137</v>
      </c>
      <c r="AB17" s="135" t="s">
        <v>135</v>
      </c>
      <c r="AC17" s="135">
        <v>2</v>
      </c>
      <c r="AD17" s="135">
        <f>(2.7*1*2)+(11*2)+(2.9*2)+(11*2)</f>
        <v>55.2</v>
      </c>
      <c r="AE17" s="135">
        <v>72</v>
      </c>
      <c r="AF17" s="135">
        <f t="shared" si="3"/>
        <v>0.766666666666667</v>
      </c>
      <c r="AG17" s="135" t="s">
        <v>49</v>
      </c>
      <c r="AH17" s="135" t="s">
        <v>135</v>
      </c>
      <c r="AI17" s="135">
        <v>2</v>
      </c>
      <c r="AJ17" s="135" t="s">
        <v>136</v>
      </c>
      <c r="AK17" s="135">
        <f>(28*1*2)+(0.6*2)+(13*2)+(6*2)+(6*3)+40+40</f>
        <v>193.2</v>
      </c>
      <c r="AL17" s="135">
        <v>247.5</v>
      </c>
      <c r="AM17" s="135">
        <f t="shared" si="4"/>
        <v>0.780606060606061</v>
      </c>
      <c r="AN17" s="135" t="s">
        <v>49</v>
      </c>
      <c r="AO17" s="135" t="s">
        <v>135</v>
      </c>
      <c r="AP17" s="135">
        <v>2</v>
      </c>
      <c r="AQ17" s="135" t="s">
        <v>136</v>
      </c>
      <c r="AR17" s="135">
        <f>(0.3*1*2)+(12.24*2)+(0.5*2)+12+31</f>
        <v>69.08</v>
      </c>
      <c r="AS17" s="135">
        <v>60</v>
      </c>
      <c r="AT17" s="135">
        <f t="shared" si="5"/>
        <v>1.15133333333333</v>
      </c>
      <c r="AU17" s="135" t="s">
        <v>44</v>
      </c>
      <c r="AV17" s="135" t="s">
        <v>50</v>
      </c>
    </row>
    <row r="18" ht="45" customHeight="1" spans="1:48">
      <c r="A18" s="139" t="s">
        <v>138</v>
      </c>
      <c r="B18" s="139" t="s">
        <v>52</v>
      </c>
      <c r="C18" s="135">
        <v>20</v>
      </c>
      <c r="D18" s="135" t="s">
        <v>68</v>
      </c>
      <c r="E18" s="139">
        <v>62</v>
      </c>
      <c r="F18" s="139">
        <v>172</v>
      </c>
      <c r="G18" s="135">
        <f t="shared" si="0"/>
        <v>20.9572742022715</v>
      </c>
      <c r="H18" s="139" t="s">
        <v>54</v>
      </c>
      <c r="I18" s="139" t="s">
        <v>101</v>
      </c>
      <c r="J18" s="135">
        <f>E18*30</f>
        <v>1860</v>
      </c>
      <c r="K18" s="139">
        <v>1500</v>
      </c>
      <c r="L18" s="139">
        <f>1500/J18</f>
        <v>0.806451612903226</v>
      </c>
      <c r="M18" s="139" t="s">
        <v>49</v>
      </c>
      <c r="N18" s="139" t="s">
        <v>56</v>
      </c>
      <c r="O18" s="139">
        <v>2</v>
      </c>
      <c r="P18" s="135" t="s">
        <v>139</v>
      </c>
      <c r="Q18" s="135">
        <f>(129+70+193+45)*3</f>
        <v>1311</v>
      </c>
      <c r="R18" s="139">
        <v>210</v>
      </c>
      <c r="S18" s="135">
        <f t="shared" si="1"/>
        <v>1521</v>
      </c>
      <c r="T18" s="139">
        <f>E18*30</f>
        <v>1860</v>
      </c>
      <c r="U18" s="139">
        <f>T18*1.2</f>
        <v>2232</v>
      </c>
      <c r="V18" s="139">
        <f t="shared" si="2"/>
        <v>0.681451612903226</v>
      </c>
      <c r="W18" s="139" t="s">
        <v>58</v>
      </c>
      <c r="X18" s="139" t="s">
        <v>97</v>
      </c>
      <c r="Y18" s="139" t="s">
        <v>50</v>
      </c>
      <c r="Z18" s="139" t="s">
        <v>47</v>
      </c>
      <c r="AA18" s="135" t="s">
        <v>73</v>
      </c>
      <c r="AB18" s="135" t="s">
        <v>139</v>
      </c>
      <c r="AC18" s="139">
        <v>2</v>
      </c>
      <c r="AD18" s="135">
        <f>(2.7*1*2)+(13.5*2)+(2.9*2)+(11*2)</f>
        <v>60.2</v>
      </c>
      <c r="AE18" s="139">
        <f>1.2*E18</f>
        <v>74.4</v>
      </c>
      <c r="AF18" s="135">
        <f t="shared" si="3"/>
        <v>0.809139784946237</v>
      </c>
      <c r="AG18" s="139" t="s">
        <v>49</v>
      </c>
      <c r="AH18" s="135" t="s">
        <v>139</v>
      </c>
      <c r="AI18" s="139">
        <v>2</v>
      </c>
      <c r="AJ18" s="139" t="s">
        <v>97</v>
      </c>
      <c r="AK18" s="135">
        <f>(28*1*2)+(13*2)+61+(13*2)</f>
        <v>169</v>
      </c>
      <c r="AL18" s="139">
        <f>(U18*55%)/4</f>
        <v>306.9</v>
      </c>
      <c r="AM18" s="139">
        <f t="shared" si="4"/>
        <v>0.550667970022809</v>
      </c>
      <c r="AN18" s="139" t="s">
        <v>58</v>
      </c>
      <c r="AO18" s="135" t="s">
        <v>139</v>
      </c>
      <c r="AP18" s="139">
        <v>2</v>
      </c>
      <c r="AQ18" s="139" t="s">
        <v>97</v>
      </c>
      <c r="AR18" s="135">
        <f>(0.3*1*2)+(12.24*2)+(0.5*2)+31</f>
        <v>57.08</v>
      </c>
      <c r="AS18" s="135">
        <f>(30%*U18)/9</f>
        <v>74.4</v>
      </c>
      <c r="AT18" s="139">
        <f t="shared" si="5"/>
        <v>0.767204301075269</v>
      </c>
      <c r="AU18" s="139" t="s">
        <v>49</v>
      </c>
      <c r="AV18" s="139" t="s">
        <v>50</v>
      </c>
    </row>
    <row r="19" ht="66" customHeight="1" spans="1:48">
      <c r="A19" s="135" t="s">
        <v>140</v>
      </c>
      <c r="B19" s="135" t="s">
        <v>37</v>
      </c>
      <c r="C19" s="135">
        <v>18</v>
      </c>
      <c r="D19" s="135" t="s">
        <v>53</v>
      </c>
      <c r="E19" s="135">
        <v>59</v>
      </c>
      <c r="F19" s="135">
        <v>155</v>
      </c>
      <c r="G19" s="135">
        <f t="shared" si="0"/>
        <v>24.5577523413111</v>
      </c>
      <c r="H19" s="136" t="s">
        <v>39</v>
      </c>
      <c r="I19" s="135" t="s">
        <v>141</v>
      </c>
      <c r="J19" s="135">
        <v>2065</v>
      </c>
      <c r="K19" s="135">
        <v>1200</v>
      </c>
      <c r="L19" s="135">
        <f>1200/J19</f>
        <v>0.581113801452784</v>
      </c>
      <c r="M19" s="135" t="s">
        <v>142</v>
      </c>
      <c r="N19" s="135" t="s">
        <v>56</v>
      </c>
      <c r="O19" s="135">
        <v>3</v>
      </c>
      <c r="P19" s="135" t="s">
        <v>143</v>
      </c>
      <c r="Q19" s="135">
        <f>(129+165+75+50+110)*3</f>
        <v>1587</v>
      </c>
      <c r="R19" s="135">
        <v>250</v>
      </c>
      <c r="S19" s="135">
        <f t="shared" si="1"/>
        <v>1837</v>
      </c>
      <c r="T19" s="135">
        <v>1415.8</v>
      </c>
      <c r="U19" s="135">
        <v>1770</v>
      </c>
      <c r="V19" s="135">
        <f t="shared" si="2"/>
        <v>1.03785310734463</v>
      </c>
      <c r="W19" s="135" t="s">
        <v>49</v>
      </c>
      <c r="X19" s="135" t="s">
        <v>144</v>
      </c>
      <c r="Y19" s="135" t="s">
        <v>50</v>
      </c>
      <c r="Z19" s="135" t="s">
        <v>47</v>
      </c>
      <c r="AA19" s="135" t="s">
        <v>145</v>
      </c>
      <c r="AB19" s="135" t="s">
        <v>143</v>
      </c>
      <c r="AC19" s="135">
        <v>3</v>
      </c>
      <c r="AD19" s="135">
        <f>(2.7*1*3)+(13.5*3)+(2.9*2)+(11*3)</f>
        <v>87.4</v>
      </c>
      <c r="AE19" s="135">
        <v>82.5</v>
      </c>
      <c r="AF19" s="135">
        <f t="shared" si="3"/>
        <v>1.05939393939394</v>
      </c>
      <c r="AG19" s="135" t="s">
        <v>49</v>
      </c>
      <c r="AH19" s="135" t="s">
        <v>143</v>
      </c>
      <c r="AI19" s="135">
        <v>3</v>
      </c>
      <c r="AJ19" s="135" t="s">
        <v>144</v>
      </c>
      <c r="AK19" s="135">
        <f>(28*1*3)+(0.6*3)+(13*2)+10+(6*3)+(6*3)+40+12</f>
        <v>209.8</v>
      </c>
      <c r="AL19" s="135">
        <v>129.0625</v>
      </c>
      <c r="AM19" s="135">
        <f t="shared" si="4"/>
        <v>1.62556900726392</v>
      </c>
      <c r="AN19" s="135" t="s">
        <v>44</v>
      </c>
      <c r="AO19" s="135" t="s">
        <v>143</v>
      </c>
      <c r="AP19" s="135">
        <v>3</v>
      </c>
      <c r="AQ19" s="135" t="s">
        <v>144</v>
      </c>
      <c r="AR19" s="135">
        <f>(0.3*1*3)+(12.24*3)+(0.5*3)+31+22.5+3.2</f>
        <v>95.82</v>
      </c>
      <c r="AS19" s="135">
        <v>24.5833333333333</v>
      </c>
      <c r="AT19" s="135">
        <f t="shared" si="5"/>
        <v>3.89776271186441</v>
      </c>
      <c r="AU19" s="135" t="s">
        <v>44</v>
      </c>
      <c r="AV19" s="135" t="s">
        <v>50</v>
      </c>
    </row>
    <row r="20" ht="64.05" customHeight="1" spans="1:48">
      <c r="A20" s="135" t="s">
        <v>146</v>
      </c>
      <c r="B20" s="135" t="s">
        <v>52</v>
      </c>
      <c r="C20" s="135">
        <v>19</v>
      </c>
      <c r="D20" s="135" t="s">
        <v>147</v>
      </c>
      <c r="E20" s="135">
        <v>48</v>
      </c>
      <c r="F20" s="135">
        <v>164</v>
      </c>
      <c r="G20" s="135">
        <f t="shared" si="0"/>
        <v>17.8465199286139</v>
      </c>
      <c r="H20" s="138" t="s">
        <v>84</v>
      </c>
      <c r="I20" s="135" t="s">
        <v>148</v>
      </c>
      <c r="J20" s="135">
        <v>1680</v>
      </c>
      <c r="K20" s="135">
        <v>2500</v>
      </c>
      <c r="L20" s="135">
        <f>2500/J20</f>
        <v>1.48809523809524</v>
      </c>
      <c r="M20" s="135" t="s">
        <v>86</v>
      </c>
      <c r="N20" s="135" t="s">
        <v>42</v>
      </c>
      <c r="O20" s="135">
        <v>2</v>
      </c>
      <c r="P20" s="135" t="s">
        <v>149</v>
      </c>
      <c r="Q20" s="135">
        <f>(193.5+250)*2</f>
        <v>887</v>
      </c>
      <c r="R20" s="135">
        <f>250</f>
        <v>250</v>
      </c>
      <c r="S20" s="135">
        <f t="shared" si="1"/>
        <v>1137</v>
      </c>
      <c r="T20" s="135">
        <v>1414.78</v>
      </c>
      <c r="U20" s="135">
        <v>1697.736</v>
      </c>
      <c r="V20" s="135">
        <f t="shared" si="2"/>
        <v>0.669715432788137</v>
      </c>
      <c r="W20" s="135" t="s">
        <v>58</v>
      </c>
      <c r="X20" s="135" t="s">
        <v>150</v>
      </c>
      <c r="Y20" s="135" t="s">
        <v>46</v>
      </c>
      <c r="Z20" s="135" t="s">
        <v>47</v>
      </c>
      <c r="AA20" s="135" t="s">
        <v>151</v>
      </c>
      <c r="AB20" s="135" t="s">
        <v>149</v>
      </c>
      <c r="AC20" s="135">
        <v>2</v>
      </c>
      <c r="AD20" s="135">
        <f>(2.7*1.5*2)+(13.5*2)</f>
        <v>35.1</v>
      </c>
      <c r="AE20" s="135">
        <v>72</v>
      </c>
      <c r="AF20" s="135">
        <f t="shared" si="3"/>
        <v>0.4875</v>
      </c>
      <c r="AG20" s="135" t="s">
        <v>41</v>
      </c>
      <c r="AH20" s="135" t="s">
        <v>149</v>
      </c>
      <c r="AI20" s="135">
        <v>2</v>
      </c>
      <c r="AJ20" s="135" t="s">
        <v>150</v>
      </c>
      <c r="AK20" s="135">
        <f>(28*1.5*2)+(0.6*3)+(6*3)+61+12</f>
        <v>176.8</v>
      </c>
      <c r="AL20" s="135">
        <v>275.8821</v>
      </c>
      <c r="AM20" s="135">
        <f t="shared" si="4"/>
        <v>0.640853466027698</v>
      </c>
      <c r="AN20" s="135" t="s">
        <v>58</v>
      </c>
      <c r="AO20" s="135" t="s">
        <v>149</v>
      </c>
      <c r="AP20" s="135">
        <v>2</v>
      </c>
      <c r="AQ20" s="135" t="s">
        <v>150</v>
      </c>
      <c r="AR20" s="135">
        <f>(0.3*1.5*2)+(12.24*2)+(0.5*2)+31</f>
        <v>57.38</v>
      </c>
      <c r="AS20" s="135">
        <v>56.5912</v>
      </c>
      <c r="AT20" s="135">
        <f t="shared" si="5"/>
        <v>1.0139385628861</v>
      </c>
      <c r="AU20" s="135" t="s">
        <v>49</v>
      </c>
      <c r="AV20" s="135" t="s">
        <v>50</v>
      </c>
    </row>
    <row r="21" ht="48" customHeight="1" spans="1:48">
      <c r="A21" s="135" t="s">
        <v>152</v>
      </c>
      <c r="B21" s="135" t="s">
        <v>37</v>
      </c>
      <c r="C21" s="135">
        <v>20</v>
      </c>
      <c r="D21" s="135" t="s">
        <v>68</v>
      </c>
      <c r="E21" s="135">
        <v>52</v>
      </c>
      <c r="F21" s="135">
        <v>158</v>
      </c>
      <c r="G21" s="135">
        <f t="shared" si="0"/>
        <v>20.829995193078</v>
      </c>
      <c r="H21" s="137" t="s">
        <v>54</v>
      </c>
      <c r="I21" s="135" t="s">
        <v>153</v>
      </c>
      <c r="J21" s="135">
        <v>1820</v>
      </c>
      <c r="K21" s="135">
        <v>1000</v>
      </c>
      <c r="L21" s="135">
        <f>1000/J21</f>
        <v>0.549450549450549</v>
      </c>
      <c r="M21" s="135" t="s">
        <v>142</v>
      </c>
      <c r="N21" s="135" t="s">
        <v>42</v>
      </c>
      <c r="O21" s="135">
        <v>2</v>
      </c>
      <c r="P21" s="135" t="s">
        <v>154</v>
      </c>
      <c r="Q21" s="135">
        <f>(129+193+110+75)*2</f>
        <v>1014</v>
      </c>
      <c r="R21" s="135">
        <f>210+210+175+170</f>
        <v>765</v>
      </c>
      <c r="S21" s="135">
        <f t="shared" si="1"/>
        <v>1779</v>
      </c>
      <c r="T21" s="135">
        <v>1344.6</v>
      </c>
      <c r="U21" s="135">
        <v>1560</v>
      </c>
      <c r="V21" s="135">
        <f t="shared" si="2"/>
        <v>1.14038461538462</v>
      </c>
      <c r="W21" s="135" t="s">
        <v>44</v>
      </c>
      <c r="X21" s="135" t="s">
        <v>155</v>
      </c>
      <c r="Y21" s="135" t="s">
        <v>46</v>
      </c>
      <c r="Z21" s="135" t="s">
        <v>47</v>
      </c>
      <c r="AA21" s="135" t="s">
        <v>73</v>
      </c>
      <c r="AB21" s="135" t="s">
        <v>156</v>
      </c>
      <c r="AC21" s="135">
        <v>2</v>
      </c>
      <c r="AD21" s="135">
        <f>(2.7*1*2)+(13.5*2)+(2.9*1)</f>
        <v>35.3</v>
      </c>
      <c r="AE21" s="135">
        <v>62.4</v>
      </c>
      <c r="AF21" s="135">
        <f t="shared" si="3"/>
        <v>0.565705128205128</v>
      </c>
      <c r="AG21" s="135" t="s">
        <v>58</v>
      </c>
      <c r="AH21" s="135" t="s">
        <v>156</v>
      </c>
      <c r="AI21" s="135">
        <v>2</v>
      </c>
      <c r="AJ21" s="135" t="s">
        <v>155</v>
      </c>
      <c r="AK21" s="135">
        <f>(28*1*2)+(6*3)+(0.6*2)+10+61+12+40+9+48</f>
        <v>255.2</v>
      </c>
      <c r="AL21" s="135">
        <v>214.5</v>
      </c>
      <c r="AM21" s="135">
        <f t="shared" si="4"/>
        <v>1.18974358974359</v>
      </c>
      <c r="AN21" s="135" t="s">
        <v>44</v>
      </c>
      <c r="AO21" s="135" t="s">
        <v>156</v>
      </c>
      <c r="AP21" s="135">
        <v>2</v>
      </c>
      <c r="AQ21" s="135" t="s">
        <v>155</v>
      </c>
      <c r="AR21" s="135">
        <f>(0.3*1*2)+(12.24*2)+(0.5*2)+31+20+12</f>
        <v>89.08</v>
      </c>
      <c r="AS21" s="135">
        <v>52</v>
      </c>
      <c r="AT21" s="135">
        <f t="shared" si="5"/>
        <v>1.71307692307692</v>
      </c>
      <c r="AU21" s="135" t="s">
        <v>44</v>
      </c>
      <c r="AV21" s="135" t="s">
        <v>50</v>
      </c>
    </row>
    <row r="22" ht="36" customHeight="1" spans="1:48">
      <c r="A22" s="135" t="s">
        <v>157</v>
      </c>
      <c r="B22" s="135" t="s">
        <v>52</v>
      </c>
      <c r="C22" s="135">
        <v>20</v>
      </c>
      <c r="D22" s="135" t="s">
        <v>158</v>
      </c>
      <c r="E22" s="135">
        <v>65</v>
      </c>
      <c r="F22" s="135">
        <v>165</v>
      </c>
      <c r="G22" s="135">
        <f t="shared" si="0"/>
        <v>23.8751147842057</v>
      </c>
      <c r="H22" s="137" t="s">
        <v>54</v>
      </c>
      <c r="I22" s="135" t="s">
        <v>80</v>
      </c>
      <c r="J22" s="135">
        <v>2275</v>
      </c>
      <c r="K22" s="135">
        <v>2000</v>
      </c>
      <c r="L22" s="135">
        <f>2000/J22</f>
        <v>0.879120879120879</v>
      </c>
      <c r="M22" s="135" t="s">
        <v>111</v>
      </c>
      <c r="N22" s="135" t="s">
        <v>42</v>
      </c>
      <c r="O22" s="135">
        <v>2</v>
      </c>
      <c r="P22" s="135" t="s">
        <v>159</v>
      </c>
      <c r="Q22" s="135">
        <f>(258+193+70)*2</f>
        <v>1042</v>
      </c>
      <c r="R22" s="135">
        <f>251+250</f>
        <v>501</v>
      </c>
      <c r="S22" s="135">
        <f t="shared" si="1"/>
        <v>1543</v>
      </c>
      <c r="T22" s="135">
        <v>1645.9</v>
      </c>
      <c r="U22" s="135">
        <v>1975.08</v>
      </c>
      <c r="V22" s="135">
        <f t="shared" si="2"/>
        <v>0.781234177856087</v>
      </c>
      <c r="W22" s="135" t="s">
        <v>49</v>
      </c>
      <c r="X22" s="135" t="s">
        <v>160</v>
      </c>
      <c r="Y22" s="135" t="s">
        <v>46</v>
      </c>
      <c r="Z22" s="135" t="s">
        <v>47</v>
      </c>
      <c r="AA22" s="135" t="s">
        <v>161</v>
      </c>
      <c r="AB22" s="135" t="s">
        <v>159</v>
      </c>
      <c r="AC22" s="135">
        <v>2</v>
      </c>
      <c r="AD22" s="135">
        <f>(2.7*2*2)+(13.5*2)+(2.9*2)</f>
        <v>43.6</v>
      </c>
      <c r="AE22" s="135">
        <v>78</v>
      </c>
      <c r="AF22" s="135">
        <f t="shared" si="3"/>
        <v>0.558974358974359</v>
      </c>
      <c r="AG22" s="135" t="s">
        <v>58</v>
      </c>
      <c r="AH22" s="135" t="s">
        <v>159</v>
      </c>
      <c r="AI22" s="135">
        <v>2</v>
      </c>
      <c r="AJ22" s="135" t="s">
        <v>160</v>
      </c>
      <c r="AK22" s="135">
        <f>(28*2*2)+(0.6*3)+(6*3)+(13*2)+61+12</f>
        <v>230.8</v>
      </c>
      <c r="AL22" s="135">
        <v>271.5735</v>
      </c>
      <c r="AM22" s="135">
        <f t="shared" si="4"/>
        <v>0.84986200789105</v>
      </c>
      <c r="AN22" s="135" t="s">
        <v>49</v>
      </c>
      <c r="AO22" s="135" t="s">
        <v>159</v>
      </c>
      <c r="AP22" s="135">
        <v>2</v>
      </c>
      <c r="AQ22" s="135" t="s">
        <v>160</v>
      </c>
      <c r="AR22" s="135">
        <f>(0.3*2*2)+(12.24*2)+(0.5*2)+31</f>
        <v>57.68</v>
      </c>
      <c r="AS22" s="135">
        <v>65.836</v>
      </c>
      <c r="AT22" s="135">
        <f t="shared" si="5"/>
        <v>0.876116410474512</v>
      </c>
      <c r="AU22" s="135" t="s">
        <v>49</v>
      </c>
      <c r="AV22" s="135" t="s">
        <v>50</v>
      </c>
    </row>
    <row r="23" ht="36" customHeight="1" spans="1:48">
      <c r="A23" s="139" t="s">
        <v>162</v>
      </c>
      <c r="B23" s="135" t="s">
        <v>37</v>
      </c>
      <c r="C23" s="135">
        <v>20</v>
      </c>
      <c r="D23" s="135" t="s">
        <v>75</v>
      </c>
      <c r="E23" s="135">
        <v>52</v>
      </c>
      <c r="F23" s="135">
        <v>160</v>
      </c>
      <c r="G23" s="135">
        <f t="shared" si="0"/>
        <v>20.3125</v>
      </c>
      <c r="H23" s="139" t="s">
        <v>54</v>
      </c>
      <c r="I23" s="139" t="s">
        <v>80</v>
      </c>
      <c r="J23" s="135">
        <f>E23*30</f>
        <v>1560</v>
      </c>
      <c r="K23" s="139">
        <v>2000</v>
      </c>
      <c r="L23" s="139">
        <f>2000/J23</f>
        <v>1.28205128205128</v>
      </c>
      <c r="M23" s="139" t="s">
        <v>86</v>
      </c>
      <c r="N23" s="139" t="s">
        <v>56</v>
      </c>
      <c r="O23" s="139">
        <v>3</v>
      </c>
      <c r="P23" s="135" t="s">
        <v>96</v>
      </c>
      <c r="Q23" s="135">
        <f>(129+70+193+45)*3</f>
        <v>1311</v>
      </c>
      <c r="R23" s="139">
        <v>210</v>
      </c>
      <c r="S23" s="135">
        <f t="shared" si="1"/>
        <v>1521</v>
      </c>
      <c r="T23" s="139">
        <f>52*25</f>
        <v>1300</v>
      </c>
      <c r="U23" s="139">
        <f>1.2*T23</f>
        <v>1560</v>
      </c>
      <c r="V23" s="139">
        <f t="shared" si="2"/>
        <v>0.975</v>
      </c>
      <c r="W23" s="139" t="s">
        <v>49</v>
      </c>
      <c r="X23" s="139" t="s">
        <v>97</v>
      </c>
      <c r="Y23" s="139" t="s">
        <v>50</v>
      </c>
      <c r="Z23" s="135" t="s">
        <v>72</v>
      </c>
      <c r="AA23" s="139" t="s">
        <v>98</v>
      </c>
      <c r="AB23" s="135" t="s">
        <v>99</v>
      </c>
      <c r="AC23" s="139">
        <v>3</v>
      </c>
      <c r="AD23" s="135">
        <f>(2.7*1*3)+(13.5*3)+(2.9*2)+(5.5*3)</f>
        <v>70.9</v>
      </c>
      <c r="AE23" s="139">
        <f>1.2*E23</f>
        <v>62.4</v>
      </c>
      <c r="AF23" s="135">
        <f t="shared" si="3"/>
        <v>1.13621794871795</v>
      </c>
      <c r="AG23" s="139" t="s">
        <v>44</v>
      </c>
      <c r="AH23" s="135" t="s">
        <v>99</v>
      </c>
      <c r="AI23" s="139">
        <v>3</v>
      </c>
      <c r="AJ23" s="139" t="s">
        <v>97</v>
      </c>
      <c r="AK23" s="135">
        <f>(28*1*3)+(13*2)+61+(13*3)</f>
        <v>210</v>
      </c>
      <c r="AL23" s="139">
        <f>(U23*55%)/4</f>
        <v>214.5</v>
      </c>
      <c r="AM23" s="139">
        <f t="shared" si="4"/>
        <v>0.979020979020979</v>
      </c>
      <c r="AN23" s="139" t="s">
        <v>49</v>
      </c>
      <c r="AO23" s="135" t="s">
        <v>99</v>
      </c>
      <c r="AP23" s="139">
        <v>3</v>
      </c>
      <c r="AQ23" s="139" t="s">
        <v>97</v>
      </c>
      <c r="AR23" s="135">
        <f>(0.3*1*3)+(12.24*2)+(0.5*3)+31</f>
        <v>57.88</v>
      </c>
      <c r="AS23" s="135">
        <f>(30%*U23)/9</f>
        <v>52</v>
      </c>
      <c r="AT23" s="139">
        <f t="shared" si="5"/>
        <v>1.11307692307692</v>
      </c>
      <c r="AU23" s="139" t="s">
        <v>44</v>
      </c>
      <c r="AV23" s="139" t="s">
        <v>50</v>
      </c>
    </row>
    <row r="24" ht="40.05" customHeight="1" spans="1:48">
      <c r="A24" s="135" t="s">
        <v>163</v>
      </c>
      <c r="B24" s="135" t="s">
        <v>37</v>
      </c>
      <c r="C24" s="135">
        <v>21</v>
      </c>
      <c r="D24" s="135" t="s">
        <v>164</v>
      </c>
      <c r="E24" s="135">
        <v>68</v>
      </c>
      <c r="F24" s="135">
        <v>163</v>
      </c>
      <c r="G24" s="135">
        <f t="shared" si="0"/>
        <v>25.5937370619895</v>
      </c>
      <c r="H24" s="136" t="s">
        <v>39</v>
      </c>
      <c r="I24" s="135" t="s">
        <v>165</v>
      </c>
      <c r="J24" s="135">
        <v>2380</v>
      </c>
      <c r="K24" s="135">
        <f>3*250</f>
        <v>750</v>
      </c>
      <c r="L24" s="135">
        <f>750/J24</f>
        <v>0.315126050420168</v>
      </c>
      <c r="M24" s="135" t="s">
        <v>41</v>
      </c>
      <c r="N24" s="135" t="s">
        <v>42</v>
      </c>
      <c r="O24" s="135">
        <v>3</v>
      </c>
      <c r="P24" s="135" t="s">
        <v>166</v>
      </c>
      <c r="Q24" s="135">
        <f>(350+250+70)*2</f>
        <v>1340</v>
      </c>
      <c r="R24" s="135">
        <v>400</v>
      </c>
      <c r="S24" s="135">
        <f t="shared" si="1"/>
        <v>1740</v>
      </c>
      <c r="T24" s="135">
        <v>1502.5</v>
      </c>
      <c r="U24" s="135">
        <v>2040</v>
      </c>
      <c r="V24" s="135">
        <f t="shared" si="2"/>
        <v>0.852941176470588</v>
      </c>
      <c r="W24" s="135" t="s">
        <v>49</v>
      </c>
      <c r="X24" s="135" t="s">
        <v>167</v>
      </c>
      <c r="Y24" s="135" t="s">
        <v>46</v>
      </c>
      <c r="Z24" s="135" t="s">
        <v>47</v>
      </c>
      <c r="AA24" s="135" t="s">
        <v>168</v>
      </c>
      <c r="AB24" s="135" t="s">
        <v>166</v>
      </c>
      <c r="AC24" s="135">
        <v>3</v>
      </c>
      <c r="AD24" s="135">
        <f>(2.7*2*3)+(13.5*2)+(2.9*3)</f>
        <v>51.9</v>
      </c>
      <c r="AE24" s="135">
        <v>94.5</v>
      </c>
      <c r="AF24" s="135">
        <f t="shared" si="3"/>
        <v>0.549206349206349</v>
      </c>
      <c r="AG24" s="135" t="s">
        <v>58</v>
      </c>
      <c r="AH24" s="135" t="s">
        <v>166</v>
      </c>
      <c r="AI24" s="135">
        <v>3</v>
      </c>
      <c r="AJ24" s="135" t="s">
        <v>167</v>
      </c>
      <c r="AK24" s="135">
        <f>(28*2*3)+(6*3)+(13*3)+22+12+0.6</f>
        <v>259.6</v>
      </c>
      <c r="AL24" s="135">
        <v>148.75</v>
      </c>
      <c r="AM24" s="135">
        <f t="shared" si="4"/>
        <v>1.74521008403361</v>
      </c>
      <c r="AN24" s="135" t="s">
        <v>44</v>
      </c>
      <c r="AO24" s="135" t="s">
        <v>166</v>
      </c>
      <c r="AP24" s="135">
        <v>3</v>
      </c>
      <c r="AQ24" s="135" t="s">
        <v>167</v>
      </c>
      <c r="AR24" s="135">
        <f>(0.3*2*2)+(12.24*3)+(0.5*3)+4.5+5.15+8.8</f>
        <v>57.87</v>
      </c>
      <c r="AS24" s="135">
        <v>28.3333333333333</v>
      </c>
      <c r="AT24" s="135">
        <f t="shared" si="5"/>
        <v>2.0424705882353</v>
      </c>
      <c r="AU24" s="135" t="s">
        <v>44</v>
      </c>
      <c r="AV24" s="135" t="s">
        <v>50</v>
      </c>
    </row>
    <row r="25" ht="55.95" customHeight="1" spans="1:48">
      <c r="A25" s="135" t="s">
        <v>169</v>
      </c>
      <c r="B25" s="135" t="s">
        <v>37</v>
      </c>
      <c r="C25" s="135">
        <v>21</v>
      </c>
      <c r="D25" s="135" t="s">
        <v>53</v>
      </c>
      <c r="E25" s="135">
        <v>71</v>
      </c>
      <c r="F25" s="135">
        <v>158</v>
      </c>
      <c r="G25" s="135">
        <f t="shared" si="0"/>
        <v>28.4409549751642</v>
      </c>
      <c r="H25" s="136" t="s">
        <v>63</v>
      </c>
      <c r="I25" s="135" t="s">
        <v>153</v>
      </c>
      <c r="J25" s="135">
        <v>2485</v>
      </c>
      <c r="K25" s="135">
        <v>1000</v>
      </c>
      <c r="L25" s="135">
        <f>1000/J25</f>
        <v>0.402414486921529</v>
      </c>
      <c r="M25" s="135" t="s">
        <v>41</v>
      </c>
      <c r="N25" s="135" t="s">
        <v>42</v>
      </c>
      <c r="O25" s="135">
        <v>2</v>
      </c>
      <c r="P25" s="135" t="s">
        <v>93</v>
      </c>
      <c r="Q25" s="135">
        <f>(350+258+150)*2</f>
        <v>1516</v>
      </c>
      <c r="R25" s="135">
        <v>510</v>
      </c>
      <c r="S25" s="135">
        <f t="shared" si="1"/>
        <v>2026</v>
      </c>
      <c r="T25" s="135">
        <v>1522.3</v>
      </c>
      <c r="U25" s="135">
        <v>2130</v>
      </c>
      <c r="V25" s="135">
        <f t="shared" si="2"/>
        <v>0.951173708920188</v>
      </c>
      <c r="W25" s="135" t="s">
        <v>49</v>
      </c>
      <c r="X25" s="135" t="s">
        <v>97</v>
      </c>
      <c r="Y25" s="135" t="s">
        <v>46</v>
      </c>
      <c r="Z25" s="135" t="s">
        <v>47</v>
      </c>
      <c r="AA25" s="135" t="s">
        <v>170</v>
      </c>
      <c r="AB25" s="135" t="s">
        <v>93</v>
      </c>
      <c r="AC25" s="135">
        <v>2</v>
      </c>
      <c r="AD25" s="135">
        <f>(2.7*2*2)+(13.5*2)</f>
        <v>37.8</v>
      </c>
      <c r="AE25" s="135">
        <v>87</v>
      </c>
      <c r="AF25" s="135">
        <f t="shared" si="3"/>
        <v>0.43448275862069</v>
      </c>
      <c r="AG25" s="135" t="s">
        <v>41</v>
      </c>
      <c r="AH25" s="135" t="s">
        <v>93</v>
      </c>
      <c r="AI25" s="135">
        <v>2</v>
      </c>
      <c r="AJ25" s="135" t="s">
        <v>97</v>
      </c>
      <c r="AK25" s="135">
        <f>(28*2*2)+(6*2)+61+10+12</f>
        <v>207</v>
      </c>
      <c r="AL25" s="135">
        <v>155.3125</v>
      </c>
      <c r="AM25" s="135">
        <f t="shared" si="4"/>
        <v>1.3327967806841</v>
      </c>
      <c r="AN25" s="135" t="s">
        <v>44</v>
      </c>
      <c r="AO25" s="135" t="s">
        <v>93</v>
      </c>
      <c r="AP25" s="135">
        <v>2</v>
      </c>
      <c r="AQ25" s="135" t="s">
        <v>97</v>
      </c>
      <c r="AR25" s="135">
        <f>(0.3*2*2)+(12.24*2)+(0.5*2)+(4.8*3)+(31)+0.2</f>
        <v>72.28</v>
      </c>
      <c r="AS25" s="135">
        <v>29.5833333333333</v>
      </c>
      <c r="AT25" s="135">
        <f t="shared" si="5"/>
        <v>2.44326760563381</v>
      </c>
      <c r="AU25" s="135" t="s">
        <v>44</v>
      </c>
      <c r="AV25" s="135" t="s">
        <v>50</v>
      </c>
    </row>
    <row r="26" ht="61.05" customHeight="1" spans="1:48">
      <c r="A26" s="135" t="s">
        <v>171</v>
      </c>
      <c r="B26" s="135" t="s">
        <v>37</v>
      </c>
      <c r="C26" s="135">
        <v>18</v>
      </c>
      <c r="D26" s="135" t="s">
        <v>172</v>
      </c>
      <c r="E26" s="135">
        <v>53</v>
      </c>
      <c r="F26" s="135">
        <v>163</v>
      </c>
      <c r="G26" s="135">
        <f t="shared" si="0"/>
        <v>19.9480597689036</v>
      </c>
      <c r="H26" s="137" t="s">
        <v>54</v>
      </c>
      <c r="I26" s="135" t="s">
        <v>173</v>
      </c>
      <c r="J26" s="135">
        <v>1855</v>
      </c>
      <c r="K26" s="135">
        <v>2000</v>
      </c>
      <c r="L26" s="135">
        <f>2000/J26</f>
        <v>1.07816711590296</v>
      </c>
      <c r="M26" s="135" t="s">
        <v>86</v>
      </c>
      <c r="N26" s="135" t="s">
        <v>42</v>
      </c>
      <c r="O26" s="135">
        <v>2</v>
      </c>
      <c r="P26" s="135" t="s">
        <v>174</v>
      </c>
      <c r="Q26" s="135">
        <f>(258+75+193)*2</f>
        <v>1052</v>
      </c>
      <c r="R26" s="135">
        <v>600</v>
      </c>
      <c r="S26" s="135">
        <f t="shared" si="1"/>
        <v>1652</v>
      </c>
      <c r="T26" s="135">
        <v>1372.6</v>
      </c>
      <c r="U26" s="135">
        <v>1590</v>
      </c>
      <c r="V26" s="135">
        <f t="shared" si="2"/>
        <v>1.03899371069182</v>
      </c>
      <c r="W26" s="135" t="s">
        <v>49</v>
      </c>
      <c r="X26" s="135" t="s">
        <v>175</v>
      </c>
      <c r="Y26" s="135" t="s">
        <v>46</v>
      </c>
      <c r="Z26" s="135" t="s">
        <v>47</v>
      </c>
      <c r="AA26" s="135" t="s">
        <v>161</v>
      </c>
      <c r="AB26" s="135" t="s">
        <v>174</v>
      </c>
      <c r="AC26" s="135">
        <v>2</v>
      </c>
      <c r="AD26" s="135">
        <f>(2.7*2*2)+(13.5*2)+(2.9*2)</f>
        <v>43.6</v>
      </c>
      <c r="AE26" s="135">
        <v>63.6</v>
      </c>
      <c r="AF26" s="135">
        <f t="shared" si="3"/>
        <v>0.685534591194968</v>
      </c>
      <c r="AG26" s="135" t="s">
        <v>58</v>
      </c>
      <c r="AH26" s="135" t="s">
        <v>174</v>
      </c>
      <c r="AI26" s="135">
        <v>2</v>
      </c>
      <c r="AJ26" s="135" t="s">
        <v>175</v>
      </c>
      <c r="AK26" s="135">
        <f>(28*2*2)+(0.6*3)+(6*3)+(13*2)+61+12+40</f>
        <v>270.8</v>
      </c>
      <c r="AL26" s="135">
        <v>218.625</v>
      </c>
      <c r="AM26" s="135">
        <f t="shared" si="4"/>
        <v>1.23865065751858</v>
      </c>
      <c r="AN26" s="135" t="s">
        <v>44</v>
      </c>
      <c r="AO26" s="135" t="s">
        <v>174</v>
      </c>
      <c r="AP26" s="135">
        <v>2</v>
      </c>
      <c r="AQ26" s="135" t="s">
        <v>175</v>
      </c>
      <c r="AR26" s="135">
        <f>(0.3*2*2)+(12.24*2)+(0.5*2)+31+20+12</f>
        <v>89.68</v>
      </c>
      <c r="AS26" s="135">
        <v>53</v>
      </c>
      <c r="AT26" s="135">
        <f t="shared" si="5"/>
        <v>1.69207547169811</v>
      </c>
      <c r="AU26" s="135" t="s">
        <v>44</v>
      </c>
      <c r="AV26" s="135" t="s">
        <v>50</v>
      </c>
    </row>
    <row r="27" ht="31.95" customHeight="1" spans="1:48">
      <c r="A27" s="135" t="s">
        <v>176</v>
      </c>
      <c r="B27" s="135" t="s">
        <v>37</v>
      </c>
      <c r="C27" s="135">
        <v>19</v>
      </c>
      <c r="D27" s="135" t="s">
        <v>177</v>
      </c>
      <c r="E27" s="135">
        <v>54</v>
      </c>
      <c r="F27" s="135">
        <v>161</v>
      </c>
      <c r="G27" s="135">
        <f t="shared" si="0"/>
        <v>20.8325296091972</v>
      </c>
      <c r="H27" s="137" t="s">
        <v>54</v>
      </c>
      <c r="I27" s="135" t="s">
        <v>178</v>
      </c>
      <c r="J27" s="135">
        <v>1890</v>
      </c>
      <c r="K27" s="135">
        <v>1500</v>
      </c>
      <c r="L27" s="135">
        <f>1500/J27</f>
        <v>0.793650793650794</v>
      </c>
      <c r="M27" s="135" t="s">
        <v>111</v>
      </c>
      <c r="N27" s="135" t="s">
        <v>42</v>
      </c>
      <c r="O27" s="135">
        <v>2</v>
      </c>
      <c r="P27" s="135" t="s">
        <v>179</v>
      </c>
      <c r="Q27" s="135">
        <f>(129+251)*2</f>
        <v>760</v>
      </c>
      <c r="R27" s="135">
        <f>350+175</f>
        <v>525</v>
      </c>
      <c r="S27" s="135">
        <f t="shared" si="1"/>
        <v>1285</v>
      </c>
      <c r="T27" s="135">
        <v>1373.9</v>
      </c>
      <c r="U27" s="135">
        <v>1620</v>
      </c>
      <c r="V27" s="135">
        <f t="shared" si="2"/>
        <v>0.79320987654321</v>
      </c>
      <c r="W27" s="135" t="s">
        <v>49</v>
      </c>
      <c r="X27" s="135" t="s">
        <v>180</v>
      </c>
      <c r="Y27" s="135" t="s">
        <v>46</v>
      </c>
      <c r="Z27" s="135" t="s">
        <v>47</v>
      </c>
      <c r="AA27" s="135" t="s">
        <v>181</v>
      </c>
      <c r="AB27" s="135" t="s">
        <v>182</v>
      </c>
      <c r="AC27" s="135">
        <v>2</v>
      </c>
      <c r="AD27" s="135">
        <f>(2.7*1.5*2)+(13.5*2)</f>
        <v>35.1</v>
      </c>
      <c r="AE27" s="135">
        <v>64.8</v>
      </c>
      <c r="AF27" s="135">
        <f t="shared" si="3"/>
        <v>0.541666666666667</v>
      </c>
      <c r="AG27" s="135" t="s">
        <v>58</v>
      </c>
      <c r="AH27" s="135" t="s">
        <v>182</v>
      </c>
      <c r="AI27" s="135">
        <v>2</v>
      </c>
      <c r="AJ27" s="135" t="s">
        <v>180</v>
      </c>
      <c r="AK27" s="135">
        <f>(28*1.5*2)+(6*2)+61+12+12+12+12+40</f>
        <v>245</v>
      </c>
      <c r="AL27" s="135">
        <v>222.75</v>
      </c>
      <c r="AM27" s="135">
        <f t="shared" si="4"/>
        <v>1.09988776655443</v>
      </c>
      <c r="AN27" s="135" t="s">
        <v>49</v>
      </c>
      <c r="AO27" s="135" t="s">
        <v>182</v>
      </c>
      <c r="AP27" s="135">
        <v>2</v>
      </c>
      <c r="AQ27" s="135" t="s">
        <v>180</v>
      </c>
      <c r="AR27" s="135">
        <f>(0.3*1.5*2)+(12.24*2)+(0.5*2)+31+6+6+6</f>
        <v>75.38</v>
      </c>
      <c r="AS27" s="135">
        <v>54</v>
      </c>
      <c r="AT27" s="135">
        <f t="shared" si="5"/>
        <v>1.39592592592593</v>
      </c>
      <c r="AU27" s="135" t="s">
        <v>44</v>
      </c>
      <c r="AV27" s="135" t="s">
        <v>50</v>
      </c>
    </row>
    <row r="28" ht="43.95" customHeight="1" spans="1:48">
      <c r="A28" s="139" t="s">
        <v>183</v>
      </c>
      <c r="B28" s="139" t="s">
        <v>52</v>
      </c>
      <c r="C28" s="139">
        <v>19</v>
      </c>
      <c r="D28" s="135" t="s">
        <v>68</v>
      </c>
      <c r="E28" s="139">
        <v>60</v>
      </c>
      <c r="F28" s="139">
        <v>173</v>
      </c>
      <c r="G28" s="135">
        <f t="shared" si="0"/>
        <v>20.0474456213038</v>
      </c>
      <c r="H28" s="139" t="s">
        <v>54</v>
      </c>
      <c r="I28" s="139" t="s">
        <v>101</v>
      </c>
      <c r="J28" s="135">
        <f>E28*30</f>
        <v>1800</v>
      </c>
      <c r="K28" s="139">
        <v>1500</v>
      </c>
      <c r="L28" s="139">
        <f>1500/J28</f>
        <v>0.833333333333333</v>
      </c>
      <c r="M28" s="139" t="s">
        <v>49</v>
      </c>
      <c r="N28" s="139" t="s">
        <v>56</v>
      </c>
      <c r="O28" s="139">
        <v>2</v>
      </c>
      <c r="P28" s="135" t="s">
        <v>139</v>
      </c>
      <c r="Q28" s="135">
        <f>(129+70+193+45)*3</f>
        <v>1311</v>
      </c>
      <c r="R28" s="139">
        <v>210</v>
      </c>
      <c r="S28" s="135">
        <f t="shared" si="1"/>
        <v>1521</v>
      </c>
      <c r="T28" s="139">
        <f>E28*30</f>
        <v>1800</v>
      </c>
      <c r="U28" s="139">
        <f>T28*1.2</f>
        <v>2160</v>
      </c>
      <c r="V28" s="139">
        <f t="shared" si="2"/>
        <v>0.704166666666667</v>
      </c>
      <c r="W28" s="139" t="s">
        <v>49</v>
      </c>
      <c r="X28" s="139" t="s">
        <v>97</v>
      </c>
      <c r="Y28" s="139" t="s">
        <v>50</v>
      </c>
      <c r="Z28" s="139" t="s">
        <v>47</v>
      </c>
      <c r="AA28" s="135" t="s">
        <v>73</v>
      </c>
      <c r="AB28" s="135" t="s">
        <v>139</v>
      </c>
      <c r="AC28" s="139">
        <v>2</v>
      </c>
      <c r="AD28" s="135">
        <f>(2.7*1*2)+(13.5*2)+(2.9*2)+(11*2)</f>
        <v>60.2</v>
      </c>
      <c r="AE28" s="139">
        <f>1.2*E28</f>
        <v>72</v>
      </c>
      <c r="AF28" s="135">
        <f t="shared" si="3"/>
        <v>0.836111111111111</v>
      </c>
      <c r="AG28" s="139" t="s">
        <v>49</v>
      </c>
      <c r="AH28" s="135" t="s">
        <v>139</v>
      </c>
      <c r="AI28" s="139">
        <v>2</v>
      </c>
      <c r="AJ28" s="139" t="s">
        <v>97</v>
      </c>
      <c r="AK28" s="135">
        <f>(28*1*2)+(13*2)+61+(13*2)</f>
        <v>169</v>
      </c>
      <c r="AL28" s="139">
        <f>(U28*55%)/4</f>
        <v>297</v>
      </c>
      <c r="AM28" s="139">
        <f t="shared" si="4"/>
        <v>0.569023569023569</v>
      </c>
      <c r="AN28" s="139" t="s">
        <v>58</v>
      </c>
      <c r="AO28" s="135" t="s">
        <v>139</v>
      </c>
      <c r="AP28" s="139">
        <v>2</v>
      </c>
      <c r="AQ28" s="139" t="s">
        <v>97</v>
      </c>
      <c r="AR28" s="135">
        <f>(0.3*1*2)+(12.24*2)+(0.5*2)+31</f>
        <v>57.08</v>
      </c>
      <c r="AS28" s="135">
        <f>(30%*U28)/9</f>
        <v>72</v>
      </c>
      <c r="AT28" s="139">
        <f t="shared" si="5"/>
        <v>0.792777777777778</v>
      </c>
      <c r="AU28" s="139" t="s">
        <v>49</v>
      </c>
      <c r="AV28" s="139" t="s">
        <v>50</v>
      </c>
    </row>
    <row r="29" ht="45" customHeight="1" spans="1:48">
      <c r="A29" s="135" t="s">
        <v>184</v>
      </c>
      <c r="B29" s="135" t="s">
        <v>37</v>
      </c>
      <c r="C29" s="135">
        <v>18</v>
      </c>
      <c r="D29" s="135" t="s">
        <v>185</v>
      </c>
      <c r="E29" s="135">
        <v>46</v>
      </c>
      <c r="F29" s="135">
        <v>158</v>
      </c>
      <c r="G29" s="135">
        <f t="shared" si="0"/>
        <v>18.4265342092613</v>
      </c>
      <c r="H29" s="137" t="s">
        <v>54</v>
      </c>
      <c r="I29" s="135" t="s">
        <v>153</v>
      </c>
      <c r="J29" s="135">
        <v>1610</v>
      </c>
      <c r="K29" s="135">
        <v>1000</v>
      </c>
      <c r="L29" s="135">
        <f>1000/J29</f>
        <v>0.62111801242236</v>
      </c>
      <c r="M29" s="135" t="s">
        <v>142</v>
      </c>
      <c r="N29" s="135" t="s">
        <v>46</v>
      </c>
      <c r="O29" s="135">
        <v>3</v>
      </c>
      <c r="P29" s="135" t="s">
        <v>186</v>
      </c>
      <c r="Q29" s="135">
        <f>(129+193)*3</f>
        <v>966</v>
      </c>
      <c r="R29" s="135">
        <f>210+175+135</f>
        <v>520</v>
      </c>
      <c r="S29" s="135">
        <f t="shared" si="1"/>
        <v>1486</v>
      </c>
      <c r="T29" s="135">
        <v>1296.4</v>
      </c>
      <c r="U29" s="135">
        <v>1380</v>
      </c>
      <c r="V29" s="135">
        <f t="shared" si="2"/>
        <v>1.0768115942029</v>
      </c>
      <c r="W29" s="135" t="s">
        <v>49</v>
      </c>
      <c r="X29" s="135" t="s">
        <v>187</v>
      </c>
      <c r="Y29" s="135" t="s">
        <v>50</v>
      </c>
      <c r="Z29" s="135" t="s">
        <v>47</v>
      </c>
      <c r="AA29" s="135" t="s">
        <v>188</v>
      </c>
      <c r="AB29" s="135" t="s">
        <v>186</v>
      </c>
      <c r="AC29" s="135">
        <v>3</v>
      </c>
      <c r="AD29" s="135">
        <f>(2.7*1*3)+(13.5*3)</f>
        <v>48.6</v>
      </c>
      <c r="AE29" s="135">
        <v>55.2</v>
      </c>
      <c r="AF29" s="135">
        <f t="shared" si="3"/>
        <v>0.880434782608696</v>
      </c>
      <c r="AG29" s="135" t="s">
        <v>49</v>
      </c>
      <c r="AH29" s="135" t="s">
        <v>186</v>
      </c>
      <c r="AI29" s="135">
        <v>3</v>
      </c>
      <c r="AJ29" s="135" t="s">
        <v>187</v>
      </c>
      <c r="AK29" s="135">
        <f>(28*1*3)+(6*3)+61+20+40</f>
        <v>223</v>
      </c>
      <c r="AL29" s="135">
        <v>189.75</v>
      </c>
      <c r="AM29" s="135">
        <f t="shared" si="4"/>
        <v>1.17523056653491</v>
      </c>
      <c r="AN29" s="135" t="s">
        <v>44</v>
      </c>
      <c r="AO29" s="135" t="s">
        <v>186</v>
      </c>
      <c r="AP29" s="135">
        <v>3</v>
      </c>
      <c r="AQ29" s="135" t="s">
        <v>187</v>
      </c>
      <c r="AR29" s="135">
        <f>(0.3*1*3)+(12.24*3)+(0.5*3)+31+12+12</f>
        <v>94.12</v>
      </c>
      <c r="AS29" s="135">
        <v>46</v>
      </c>
      <c r="AT29" s="135">
        <f t="shared" si="5"/>
        <v>2.04608695652174</v>
      </c>
      <c r="AU29" s="135" t="s">
        <v>44</v>
      </c>
      <c r="AV29" s="135" t="s">
        <v>50</v>
      </c>
    </row>
    <row r="30" ht="36" customHeight="1" spans="1:48">
      <c r="A30" s="135" t="s">
        <v>189</v>
      </c>
      <c r="B30" s="135" t="s">
        <v>52</v>
      </c>
      <c r="C30" s="135">
        <v>22</v>
      </c>
      <c r="D30" s="135" t="s">
        <v>190</v>
      </c>
      <c r="E30" s="135">
        <v>55</v>
      </c>
      <c r="F30" s="135">
        <v>176</v>
      </c>
      <c r="G30" s="135">
        <f t="shared" si="0"/>
        <v>17.7556818181818</v>
      </c>
      <c r="H30" s="138" t="s">
        <v>84</v>
      </c>
      <c r="I30" s="135" t="s">
        <v>191</v>
      </c>
      <c r="J30" s="135">
        <v>1925</v>
      </c>
      <c r="K30" s="135">
        <v>3000</v>
      </c>
      <c r="L30" s="135">
        <f>3500/J30</f>
        <v>1.81818181818182</v>
      </c>
      <c r="M30" s="135" t="s">
        <v>86</v>
      </c>
      <c r="N30" s="135" t="s">
        <v>56</v>
      </c>
      <c r="O30" s="135">
        <v>3</v>
      </c>
      <c r="P30" s="135" t="s">
        <v>192</v>
      </c>
      <c r="Q30" s="135">
        <f>(387+70+70)*3</f>
        <v>1581</v>
      </c>
      <c r="R30" s="135">
        <v>170</v>
      </c>
      <c r="S30" s="135">
        <f t="shared" si="1"/>
        <v>1751</v>
      </c>
      <c r="T30" s="135">
        <v>1550.34</v>
      </c>
      <c r="U30" s="135">
        <v>1860.408</v>
      </c>
      <c r="V30" s="135">
        <f t="shared" si="2"/>
        <v>0.941191394575814</v>
      </c>
      <c r="W30" s="135" t="s">
        <v>49</v>
      </c>
      <c r="X30" s="135" t="s">
        <v>193</v>
      </c>
      <c r="Y30" s="135" t="s">
        <v>50</v>
      </c>
      <c r="Z30" s="135" t="s">
        <v>47</v>
      </c>
      <c r="AA30" s="135" t="s">
        <v>194</v>
      </c>
      <c r="AB30" s="135" t="s">
        <v>192</v>
      </c>
      <c r="AC30" s="135">
        <v>3</v>
      </c>
      <c r="AD30" s="135">
        <f>(2.7*4*3)+(6.5*3)+(2.9*3)</f>
        <v>60.6</v>
      </c>
      <c r="AE30" s="135">
        <v>82.5</v>
      </c>
      <c r="AF30" s="135">
        <f t="shared" si="3"/>
        <v>0.734545454545455</v>
      </c>
      <c r="AG30" s="135" t="s">
        <v>49</v>
      </c>
      <c r="AH30" s="135" t="s">
        <v>192</v>
      </c>
      <c r="AI30" s="135">
        <v>3</v>
      </c>
      <c r="AJ30" s="135" t="s">
        <v>193</v>
      </c>
      <c r="AK30" s="135">
        <f>(28*3*3)+(0.6*3)+(13*3)+20</f>
        <v>312.8</v>
      </c>
      <c r="AL30" s="135">
        <v>302.3163</v>
      </c>
      <c r="AM30" s="135">
        <f t="shared" si="4"/>
        <v>1.03467791845825</v>
      </c>
      <c r="AN30" s="135" t="s">
        <v>49</v>
      </c>
      <c r="AO30" s="135" t="s">
        <v>192</v>
      </c>
      <c r="AP30" s="135">
        <v>3</v>
      </c>
      <c r="AQ30" s="135" t="s">
        <v>193</v>
      </c>
      <c r="AR30" s="135">
        <f>(0.3*4*3)+(12.24*1.5)+(0.5*3)+31</f>
        <v>54.46</v>
      </c>
      <c r="AS30" s="135">
        <v>62.0136</v>
      </c>
      <c r="AT30" s="135">
        <f t="shared" si="5"/>
        <v>0.87819446056994</v>
      </c>
      <c r="AU30" s="135" t="s">
        <v>49</v>
      </c>
      <c r="AV30" s="135" t="s">
        <v>50</v>
      </c>
    </row>
    <row r="31" ht="40.95" customHeight="1" spans="1:48">
      <c r="A31" s="135" t="s">
        <v>195</v>
      </c>
      <c r="B31" s="135" t="s">
        <v>52</v>
      </c>
      <c r="C31" s="135">
        <v>20</v>
      </c>
      <c r="D31" s="135" t="s">
        <v>196</v>
      </c>
      <c r="E31" s="135">
        <v>60</v>
      </c>
      <c r="F31" s="135">
        <v>175</v>
      </c>
      <c r="G31" s="135">
        <f t="shared" si="0"/>
        <v>19.5918367346939</v>
      </c>
      <c r="H31" s="137" t="s">
        <v>54</v>
      </c>
      <c r="I31" s="135" t="s">
        <v>197</v>
      </c>
      <c r="J31" s="135">
        <v>2100</v>
      </c>
      <c r="K31" s="135">
        <v>1000</v>
      </c>
      <c r="L31" s="135">
        <f>1000/J31</f>
        <v>0.476190476190476</v>
      </c>
      <c r="M31" s="135" t="s">
        <v>41</v>
      </c>
      <c r="N31" s="135" t="s">
        <v>42</v>
      </c>
      <c r="O31" s="135">
        <v>3</v>
      </c>
      <c r="P31" s="135" t="s">
        <v>198</v>
      </c>
      <c r="Q31" s="135">
        <f>(258+87.5+200+150+120)*3</f>
        <v>2446.5</v>
      </c>
      <c r="R31" s="135">
        <v>125</v>
      </c>
      <c r="S31" s="135">
        <f t="shared" si="1"/>
        <v>2571.5</v>
      </c>
      <c r="T31" s="135">
        <v>1627.4</v>
      </c>
      <c r="U31" s="135">
        <v>1952.88</v>
      </c>
      <c r="V31" s="135">
        <f t="shared" si="2"/>
        <v>1.3167731760272</v>
      </c>
      <c r="W31" s="135" t="s">
        <v>44</v>
      </c>
      <c r="X31" s="135" t="s">
        <v>199</v>
      </c>
      <c r="Y31" s="135" t="s">
        <v>50</v>
      </c>
      <c r="Z31" s="135" t="s">
        <v>47</v>
      </c>
      <c r="AA31" s="135" t="s">
        <v>200</v>
      </c>
      <c r="AB31" s="135" t="s">
        <v>198</v>
      </c>
      <c r="AC31" s="135">
        <v>3</v>
      </c>
      <c r="AD31" s="135">
        <f>(2.7*2.5*3)+(13.5*2)+(2.9*3)</f>
        <v>55.95</v>
      </c>
      <c r="AE31" s="135">
        <v>72</v>
      </c>
      <c r="AF31" s="135">
        <f t="shared" si="3"/>
        <v>0.777083333333333</v>
      </c>
      <c r="AG31" s="135" t="s">
        <v>49</v>
      </c>
      <c r="AH31" s="135" t="s">
        <v>198</v>
      </c>
      <c r="AI31" s="135">
        <v>3</v>
      </c>
      <c r="AJ31" s="135" t="s">
        <v>201</v>
      </c>
      <c r="AK31" s="135">
        <f>(28*2.5*3)+(6*3)+(13*3)+6.74+22+12</f>
        <v>307.74</v>
      </c>
      <c r="AL31" s="135">
        <v>268.521</v>
      </c>
      <c r="AM31" s="135">
        <f t="shared" si="4"/>
        <v>1.1460556157619</v>
      </c>
      <c r="AN31" s="135" t="s">
        <v>44</v>
      </c>
      <c r="AO31" s="135" t="s">
        <v>198</v>
      </c>
      <c r="AP31" s="135">
        <v>3</v>
      </c>
      <c r="AQ31" s="135" t="s">
        <v>201</v>
      </c>
      <c r="AR31" s="135">
        <f>(0.3*2.5*3)+(12.24*3)+(0.5*3)+(0.2*3)+(6*3)+12</f>
        <v>71.07</v>
      </c>
      <c r="AS31" s="135">
        <v>65.096</v>
      </c>
      <c r="AT31" s="135">
        <f t="shared" si="5"/>
        <v>1.09177215189873</v>
      </c>
      <c r="AU31" s="135" t="s">
        <v>49</v>
      </c>
      <c r="AV31" s="135" t="s">
        <v>50</v>
      </c>
    </row>
    <row r="32" ht="42" customHeight="1" spans="1:48">
      <c r="A32" s="135" t="s">
        <v>202</v>
      </c>
      <c r="B32" s="135" t="s">
        <v>37</v>
      </c>
      <c r="C32" s="135">
        <v>20</v>
      </c>
      <c r="D32" s="135" t="s">
        <v>203</v>
      </c>
      <c r="E32" s="135">
        <v>60</v>
      </c>
      <c r="F32" s="135">
        <v>158</v>
      </c>
      <c r="G32" s="135">
        <f t="shared" si="0"/>
        <v>24.034609838167</v>
      </c>
      <c r="H32" s="136" t="s">
        <v>39</v>
      </c>
      <c r="I32" s="135" t="s">
        <v>80</v>
      </c>
      <c r="J32" s="135">
        <v>2100</v>
      </c>
      <c r="K32" s="135">
        <v>2000</v>
      </c>
      <c r="L32" s="135">
        <f>2000/J32</f>
        <v>0.952380952380952</v>
      </c>
      <c r="M32" s="135" t="s">
        <v>111</v>
      </c>
      <c r="N32" s="135" t="s">
        <v>56</v>
      </c>
      <c r="O32" s="135">
        <v>3</v>
      </c>
      <c r="P32" s="135" t="s">
        <v>204</v>
      </c>
      <c r="Q32" s="135">
        <f>(175+258+150)*2</f>
        <v>1166</v>
      </c>
      <c r="R32" s="135">
        <v>150</v>
      </c>
      <c r="S32" s="135">
        <f t="shared" si="1"/>
        <v>1316</v>
      </c>
      <c r="T32" s="135">
        <v>1421.4</v>
      </c>
      <c r="U32" s="135">
        <v>1800</v>
      </c>
      <c r="V32" s="135">
        <f t="shared" si="2"/>
        <v>0.731111111111111</v>
      </c>
      <c r="W32" s="135" t="s">
        <v>49</v>
      </c>
      <c r="X32" s="135" t="s">
        <v>205</v>
      </c>
      <c r="Y32" s="135" t="s">
        <v>46</v>
      </c>
      <c r="Z32" s="135" t="s">
        <v>47</v>
      </c>
      <c r="AA32" s="135" t="s">
        <v>206</v>
      </c>
      <c r="AB32" s="135" t="s">
        <v>204</v>
      </c>
      <c r="AC32" s="135">
        <v>3</v>
      </c>
      <c r="AD32" s="135">
        <f>(2.7*3)+(13.5*2)</f>
        <v>35.1</v>
      </c>
      <c r="AE32" s="135">
        <v>87</v>
      </c>
      <c r="AF32" s="135">
        <f t="shared" si="3"/>
        <v>0.403448275862069</v>
      </c>
      <c r="AG32" s="135" t="s">
        <v>41</v>
      </c>
      <c r="AH32" s="135" t="s">
        <v>204</v>
      </c>
      <c r="AI32" s="135">
        <v>3</v>
      </c>
      <c r="AJ32" s="135" t="s">
        <v>205</v>
      </c>
      <c r="AK32" s="135">
        <f>(28*2*3)+(6*3)+10+25</f>
        <v>221</v>
      </c>
      <c r="AL32" s="135">
        <v>131.25</v>
      </c>
      <c r="AM32" s="135">
        <f t="shared" si="4"/>
        <v>1.68380952380952</v>
      </c>
      <c r="AN32" s="135" t="s">
        <v>44</v>
      </c>
      <c r="AO32" s="135" t="s">
        <v>204</v>
      </c>
      <c r="AP32" s="135">
        <v>3</v>
      </c>
      <c r="AQ32" s="135" t="s">
        <v>205</v>
      </c>
      <c r="AR32" s="135">
        <f>(0.3*1*3)+(12.24*2)+(0.5*2)+(0.2*3)+6</f>
        <v>32.98</v>
      </c>
      <c r="AS32" s="135">
        <v>25</v>
      </c>
      <c r="AT32" s="135">
        <f t="shared" si="5"/>
        <v>1.3192</v>
      </c>
      <c r="AU32" s="135" t="s">
        <v>44</v>
      </c>
      <c r="AV32" s="135" t="s">
        <v>50</v>
      </c>
    </row>
    <row r="33" ht="40.95" customHeight="1" spans="1:48">
      <c r="A33" s="135" t="s">
        <v>207</v>
      </c>
      <c r="B33" s="135" t="s">
        <v>52</v>
      </c>
      <c r="C33" s="135">
        <v>22</v>
      </c>
      <c r="D33" s="135" t="s">
        <v>196</v>
      </c>
      <c r="E33" s="135">
        <v>60</v>
      </c>
      <c r="F33" s="135">
        <v>175</v>
      </c>
      <c r="G33" s="135">
        <f t="shared" si="0"/>
        <v>19.5918367346939</v>
      </c>
      <c r="H33" s="137" t="s">
        <v>54</v>
      </c>
      <c r="I33" s="135" t="s">
        <v>197</v>
      </c>
      <c r="J33" s="135">
        <v>2100</v>
      </c>
      <c r="K33" s="139">
        <v>2000</v>
      </c>
      <c r="L33" s="135">
        <f>1000/J33</f>
        <v>0.476190476190476</v>
      </c>
      <c r="M33" s="135" t="s">
        <v>41</v>
      </c>
      <c r="N33" s="135" t="s">
        <v>42</v>
      </c>
      <c r="O33" s="135">
        <v>3</v>
      </c>
      <c r="P33" s="135" t="s">
        <v>198</v>
      </c>
      <c r="Q33" s="135">
        <f>(258+87.5+200+150+120)*3</f>
        <v>2446.5</v>
      </c>
      <c r="R33" s="135">
        <v>125</v>
      </c>
      <c r="S33" s="135">
        <f t="shared" si="1"/>
        <v>2571.5</v>
      </c>
      <c r="T33" s="135">
        <v>1627.4</v>
      </c>
      <c r="U33" s="135">
        <v>1952.88</v>
      </c>
      <c r="V33" s="135">
        <f t="shared" si="2"/>
        <v>1.3167731760272</v>
      </c>
      <c r="W33" s="135" t="s">
        <v>44</v>
      </c>
      <c r="X33" s="135" t="s">
        <v>199</v>
      </c>
      <c r="Y33" s="135" t="s">
        <v>50</v>
      </c>
      <c r="Z33" s="135" t="s">
        <v>47</v>
      </c>
      <c r="AA33" s="135" t="s">
        <v>200</v>
      </c>
      <c r="AB33" s="135" t="s">
        <v>198</v>
      </c>
      <c r="AC33" s="135">
        <v>3</v>
      </c>
      <c r="AD33" s="135">
        <f>(2.7*2.5*3)+(13.5*2)+(2.9*3)</f>
        <v>55.95</v>
      </c>
      <c r="AE33" s="135">
        <v>72</v>
      </c>
      <c r="AF33" s="135">
        <f t="shared" si="3"/>
        <v>0.777083333333333</v>
      </c>
      <c r="AG33" s="135" t="s">
        <v>49</v>
      </c>
      <c r="AH33" s="135" t="s">
        <v>198</v>
      </c>
      <c r="AI33" s="135">
        <v>3</v>
      </c>
      <c r="AJ33" s="135" t="s">
        <v>201</v>
      </c>
      <c r="AK33" s="135">
        <f>(28*2.5*3)+(6*3)+(13*3)+6.74+22+12</f>
        <v>307.74</v>
      </c>
      <c r="AL33" s="135">
        <v>268.521</v>
      </c>
      <c r="AM33" s="135">
        <f t="shared" si="4"/>
        <v>1.1460556157619</v>
      </c>
      <c r="AN33" s="135" t="s">
        <v>44</v>
      </c>
      <c r="AO33" s="135" t="s">
        <v>198</v>
      </c>
      <c r="AP33" s="135">
        <v>3</v>
      </c>
      <c r="AQ33" s="135" t="s">
        <v>201</v>
      </c>
      <c r="AR33" s="135">
        <f>(0.3*2.5*3)+(12.24*3)+(0.5*3)+(0.2*3)+(6*3)+12</f>
        <v>71.07</v>
      </c>
      <c r="AS33" s="135">
        <v>65.096</v>
      </c>
      <c r="AT33" s="135">
        <f t="shared" si="5"/>
        <v>1.09177215189873</v>
      </c>
      <c r="AU33" s="135" t="s">
        <v>49</v>
      </c>
      <c r="AV33" s="135" t="s">
        <v>50</v>
      </c>
    </row>
    <row r="34" ht="34.95" customHeight="1" spans="1:48">
      <c r="A34" s="135" t="s">
        <v>208</v>
      </c>
      <c r="B34" s="135" t="s">
        <v>37</v>
      </c>
      <c r="C34" s="135">
        <v>23</v>
      </c>
      <c r="D34" s="135"/>
      <c r="E34" s="135">
        <v>48</v>
      </c>
      <c r="F34" s="135">
        <v>168</v>
      </c>
      <c r="G34" s="135">
        <f t="shared" si="0"/>
        <v>17.0068027210884</v>
      </c>
      <c r="H34" s="138" t="s">
        <v>84</v>
      </c>
      <c r="I34" s="135" t="s">
        <v>209</v>
      </c>
      <c r="J34" s="135">
        <v>1680</v>
      </c>
      <c r="K34" s="135">
        <v>1500</v>
      </c>
      <c r="L34" s="135">
        <f>1500/J34</f>
        <v>0.892857142857143</v>
      </c>
      <c r="M34" s="135" t="s">
        <v>49</v>
      </c>
      <c r="N34" s="135" t="s">
        <v>56</v>
      </c>
      <c r="O34" s="135">
        <v>2</v>
      </c>
      <c r="P34" s="135" t="s">
        <v>210</v>
      </c>
      <c r="Q34" s="135">
        <f>(193.5+250)*2</f>
        <v>887</v>
      </c>
      <c r="R34" s="135">
        <v>100</v>
      </c>
      <c r="S34" s="135">
        <f t="shared" si="1"/>
        <v>987</v>
      </c>
      <c r="T34" s="135">
        <v>1310.1</v>
      </c>
      <c r="U34" s="135">
        <v>1440</v>
      </c>
      <c r="V34" s="135">
        <f t="shared" si="2"/>
        <v>0.685416666666667</v>
      </c>
      <c r="W34" s="135" t="s">
        <v>58</v>
      </c>
      <c r="X34" s="135" t="s">
        <v>91</v>
      </c>
      <c r="Y34" s="135" t="s">
        <v>46</v>
      </c>
      <c r="Z34" s="135" t="s">
        <v>47</v>
      </c>
      <c r="AA34" s="135" t="s">
        <v>211</v>
      </c>
      <c r="AB34" s="135" t="s">
        <v>210</v>
      </c>
      <c r="AC34" s="135">
        <v>2</v>
      </c>
      <c r="AD34" s="135">
        <f>(2.7*1.5*2)+(13.5*2)</f>
        <v>35.1</v>
      </c>
      <c r="AE34" s="135">
        <v>57.6</v>
      </c>
      <c r="AF34" s="135">
        <f t="shared" si="3"/>
        <v>0.609375</v>
      </c>
      <c r="AG34" s="135" t="s">
        <v>58</v>
      </c>
      <c r="AH34" s="135" t="s">
        <v>210</v>
      </c>
      <c r="AI34" s="135">
        <v>2</v>
      </c>
      <c r="AJ34" s="135" t="s">
        <v>91</v>
      </c>
      <c r="AK34" s="135">
        <f>(28*1.5*2)+(6*2)</f>
        <v>96</v>
      </c>
      <c r="AL34" s="135">
        <v>234</v>
      </c>
      <c r="AM34" s="135">
        <f t="shared" si="4"/>
        <v>0.41025641025641</v>
      </c>
      <c r="AN34" s="135" t="s">
        <v>41</v>
      </c>
      <c r="AO34" s="135" t="s">
        <v>210</v>
      </c>
      <c r="AP34" s="135">
        <v>2</v>
      </c>
      <c r="AQ34" s="135" t="s">
        <v>91</v>
      </c>
      <c r="AR34" s="135">
        <f>(0.3*1.5*2)+(12.24*2)+(0.5*2)</f>
        <v>26.38</v>
      </c>
      <c r="AS34" s="135">
        <v>48</v>
      </c>
      <c r="AT34" s="135">
        <f t="shared" si="5"/>
        <v>0.549583333333333</v>
      </c>
      <c r="AU34" s="135" t="s">
        <v>58</v>
      </c>
      <c r="AV34" s="135" t="s">
        <v>50</v>
      </c>
    </row>
    <row r="35" ht="39" customHeight="1" spans="1:48">
      <c r="A35" s="135" t="s">
        <v>212</v>
      </c>
      <c r="B35" s="135" t="s">
        <v>37</v>
      </c>
      <c r="C35" s="135">
        <v>19</v>
      </c>
      <c r="D35" s="135">
        <v>12</v>
      </c>
      <c r="E35" s="135">
        <v>56</v>
      </c>
      <c r="F35" s="135">
        <v>154</v>
      </c>
      <c r="G35" s="135">
        <f t="shared" si="0"/>
        <v>23.6127508854782</v>
      </c>
      <c r="H35" s="137" t="s">
        <v>213</v>
      </c>
      <c r="I35" s="135">
        <v>2</v>
      </c>
      <c r="J35" s="135">
        <v>1960</v>
      </c>
      <c r="K35" s="135">
        <v>2000</v>
      </c>
      <c r="L35" s="135">
        <f>2000/J35</f>
        <v>1.02040816326531</v>
      </c>
      <c r="M35" s="135" t="s">
        <v>86</v>
      </c>
      <c r="N35" s="135" t="s">
        <v>56</v>
      </c>
      <c r="O35" s="135">
        <v>2</v>
      </c>
      <c r="P35" s="135" t="s">
        <v>214</v>
      </c>
      <c r="Q35" s="135">
        <f>(129+64.5+250+50)*2</f>
        <v>987</v>
      </c>
      <c r="R35" s="135">
        <v>125</v>
      </c>
      <c r="S35" s="135">
        <f t="shared" si="1"/>
        <v>1112</v>
      </c>
      <c r="T35" s="135">
        <v>1380.5</v>
      </c>
      <c r="U35" s="135">
        <v>1680</v>
      </c>
      <c r="V35" s="135">
        <f t="shared" si="2"/>
        <v>0.661904761904762</v>
      </c>
      <c r="W35" s="135" t="s">
        <v>142</v>
      </c>
      <c r="X35" s="135" t="s">
        <v>215</v>
      </c>
      <c r="Y35" s="135" t="s">
        <v>46</v>
      </c>
      <c r="Z35" s="135" t="s">
        <v>47</v>
      </c>
      <c r="AA35" s="135">
        <v>6</v>
      </c>
      <c r="AB35" s="135" t="s">
        <v>214</v>
      </c>
      <c r="AC35" s="135">
        <v>2</v>
      </c>
      <c r="AD35" s="135">
        <f>(2.7*1.5*2)+(13.5*2)+(2.9*3)</f>
        <v>43.8</v>
      </c>
      <c r="AE35" s="135">
        <v>56</v>
      </c>
      <c r="AF35" s="135">
        <f t="shared" si="3"/>
        <v>0.782142857142857</v>
      </c>
      <c r="AG35" s="135" t="s">
        <v>49</v>
      </c>
      <c r="AH35" s="135" t="s">
        <v>214</v>
      </c>
      <c r="AI35" s="135">
        <v>2</v>
      </c>
      <c r="AJ35" s="135" t="s">
        <v>215</v>
      </c>
      <c r="AK35" s="135">
        <f>(28*1.5*2)+(6*2)+(13*2)+22</f>
        <v>144</v>
      </c>
      <c r="AL35" s="135">
        <v>140</v>
      </c>
      <c r="AM35" s="135">
        <f t="shared" si="4"/>
        <v>1.02857142857143</v>
      </c>
      <c r="AN35" s="135" t="s">
        <v>49</v>
      </c>
      <c r="AO35" s="135" t="s">
        <v>214</v>
      </c>
      <c r="AP35" s="135">
        <v>2</v>
      </c>
      <c r="AQ35" s="135" t="s">
        <v>215</v>
      </c>
      <c r="AR35" s="135">
        <f>(0.3*1.5*2)+(12.24*2)+(0.5*2)+12</f>
        <v>38.38</v>
      </c>
      <c r="AS35" s="135">
        <v>46.0166666666667</v>
      </c>
      <c r="AT35" s="135">
        <f t="shared" si="5"/>
        <v>0.83404563563926</v>
      </c>
      <c r="AU35" s="135" t="s">
        <v>49</v>
      </c>
      <c r="AV35" s="135" t="s">
        <v>50</v>
      </c>
    </row>
    <row r="36" s="132" customFormat="1" ht="31.05" customHeight="1" spans="1:48">
      <c r="A36" s="135" t="s">
        <v>216</v>
      </c>
      <c r="B36" s="135" t="s">
        <v>37</v>
      </c>
      <c r="C36" s="135">
        <v>19</v>
      </c>
      <c r="D36" s="135" t="s">
        <v>217</v>
      </c>
      <c r="E36" s="135">
        <v>51</v>
      </c>
      <c r="F36" s="135">
        <v>150</v>
      </c>
      <c r="G36" s="135">
        <f t="shared" si="0"/>
        <v>22.6666666666667</v>
      </c>
      <c r="H36" s="137" t="s">
        <v>54</v>
      </c>
      <c r="I36" s="135" t="s">
        <v>218</v>
      </c>
      <c r="J36" s="135">
        <v>1785</v>
      </c>
      <c r="K36" s="135">
        <v>1500</v>
      </c>
      <c r="L36" s="135">
        <f>1500/J36</f>
        <v>0.840336134453782</v>
      </c>
      <c r="M36" s="135" t="s">
        <v>49</v>
      </c>
      <c r="N36" s="135" t="s">
        <v>56</v>
      </c>
      <c r="O36" s="135">
        <v>3</v>
      </c>
      <c r="P36" s="135" t="s">
        <v>219</v>
      </c>
      <c r="Q36" s="135">
        <f>(258+193+70+50)*3</f>
        <v>1713</v>
      </c>
      <c r="R36" s="135">
        <f>350</f>
        <v>350</v>
      </c>
      <c r="S36" s="135">
        <f t="shared" si="1"/>
        <v>2063</v>
      </c>
      <c r="T36" s="135">
        <v>1325.3</v>
      </c>
      <c r="U36" s="135">
        <v>1530</v>
      </c>
      <c r="V36" s="135">
        <f t="shared" si="2"/>
        <v>1.3483660130719</v>
      </c>
      <c r="W36" s="135" t="s">
        <v>44</v>
      </c>
      <c r="X36" s="135" t="s">
        <v>220</v>
      </c>
      <c r="Y36" s="135" t="s">
        <v>50</v>
      </c>
      <c r="Z36" s="135" t="s">
        <v>47</v>
      </c>
      <c r="AA36" s="135" t="s">
        <v>73</v>
      </c>
      <c r="AB36" s="135" t="s">
        <v>219</v>
      </c>
      <c r="AC36" s="135">
        <v>3</v>
      </c>
      <c r="AD36" s="135">
        <f>(2.7*2*3)+(13.5*3)+(2.9*2)+(11*3)</f>
        <v>95.5</v>
      </c>
      <c r="AE36" s="135">
        <v>61.2</v>
      </c>
      <c r="AF36" s="135">
        <f t="shared" si="3"/>
        <v>1.56045751633987</v>
      </c>
      <c r="AG36" s="135" t="s">
        <v>44</v>
      </c>
      <c r="AH36" s="135" t="s">
        <v>219</v>
      </c>
      <c r="AI36" s="135">
        <v>3</v>
      </c>
      <c r="AJ36" s="135" t="s">
        <v>220</v>
      </c>
      <c r="AK36" s="135">
        <f>(28*2*3)+(6*3)+(0.6*3)+(13*3)+61</f>
        <v>287.8</v>
      </c>
      <c r="AL36" s="135">
        <v>210.375</v>
      </c>
      <c r="AM36" s="135">
        <f t="shared" si="4"/>
        <v>1.36803327391563</v>
      </c>
      <c r="AN36" s="135" t="s">
        <v>44</v>
      </c>
      <c r="AO36" s="135" t="s">
        <v>219</v>
      </c>
      <c r="AP36" s="135">
        <v>3</v>
      </c>
      <c r="AQ36" s="135" t="s">
        <v>220</v>
      </c>
      <c r="AR36" s="135">
        <f>(0.3*2*3)+(12.24*3)+(0.5*2)+31+6+12</f>
        <v>88.52</v>
      </c>
      <c r="AS36" s="135">
        <v>51</v>
      </c>
      <c r="AT36" s="135">
        <f t="shared" si="5"/>
        <v>1.7356862745098</v>
      </c>
      <c r="AU36" s="135" t="s">
        <v>44</v>
      </c>
      <c r="AV36" s="135" t="s">
        <v>50</v>
      </c>
    </row>
    <row r="37" ht="48" customHeight="1" spans="1:48">
      <c r="A37" s="135" t="s">
        <v>221</v>
      </c>
      <c r="B37" s="135" t="s">
        <v>37</v>
      </c>
      <c r="C37" s="135">
        <v>19</v>
      </c>
      <c r="D37" s="135" t="s">
        <v>53</v>
      </c>
      <c r="E37" s="135">
        <v>57</v>
      </c>
      <c r="F37" s="135">
        <v>157</v>
      </c>
      <c r="G37" s="135">
        <f t="shared" si="0"/>
        <v>23.1246703720232</v>
      </c>
      <c r="H37" s="137" t="s">
        <v>213</v>
      </c>
      <c r="I37" s="135" t="s">
        <v>222</v>
      </c>
      <c r="J37" s="135">
        <v>1995</v>
      </c>
      <c r="K37" s="135">
        <f>8*250</f>
        <v>2000</v>
      </c>
      <c r="L37" s="135">
        <f>2000/J37</f>
        <v>1.00250626566416</v>
      </c>
      <c r="M37" s="135" t="s">
        <v>49</v>
      </c>
      <c r="N37" s="135" t="s">
        <v>56</v>
      </c>
      <c r="O37" s="135">
        <v>3</v>
      </c>
      <c r="P37" s="135" t="s">
        <v>223</v>
      </c>
      <c r="Q37" s="135">
        <f>(87.5+129+120+153)*3</f>
        <v>1468.5</v>
      </c>
      <c r="R37" s="135">
        <v>120</v>
      </c>
      <c r="S37" s="135">
        <f t="shared" si="1"/>
        <v>1588.5</v>
      </c>
      <c r="T37" s="135">
        <v>1395.5</v>
      </c>
      <c r="U37" s="135">
        <v>1710</v>
      </c>
      <c r="V37" s="135">
        <f t="shared" si="2"/>
        <v>0.928947368421053</v>
      </c>
      <c r="W37" s="135" t="s">
        <v>49</v>
      </c>
      <c r="X37" s="135" t="s">
        <v>224</v>
      </c>
      <c r="Y37" s="135" t="s">
        <v>46</v>
      </c>
      <c r="Z37" s="135" t="s">
        <v>47</v>
      </c>
      <c r="AA37" s="135" t="s">
        <v>73</v>
      </c>
      <c r="AB37" s="135" t="s">
        <v>223</v>
      </c>
      <c r="AC37" s="135">
        <v>3</v>
      </c>
      <c r="AD37" s="135">
        <f>(1.5*2.7*3)+(11*3)+(8.5*3)</f>
        <v>70.65</v>
      </c>
      <c r="AE37" s="135">
        <v>57</v>
      </c>
      <c r="AF37" s="135">
        <f t="shared" si="3"/>
        <v>1.23947368421053</v>
      </c>
      <c r="AG37" s="135" t="s">
        <v>44</v>
      </c>
      <c r="AH37" s="135" t="s">
        <v>223</v>
      </c>
      <c r="AI37" s="135">
        <v>3</v>
      </c>
      <c r="AJ37" s="135" t="s">
        <v>224</v>
      </c>
      <c r="AK37" s="135">
        <f>(28*1.5*3)+(0.6*3)+(0.95*3)+6</f>
        <v>136.65</v>
      </c>
      <c r="AL37" s="135">
        <v>142.5</v>
      </c>
      <c r="AM37" s="135">
        <f t="shared" si="4"/>
        <v>0.958947368421053</v>
      </c>
      <c r="AN37" s="135" t="s">
        <v>49</v>
      </c>
      <c r="AO37" s="135" t="s">
        <v>223</v>
      </c>
      <c r="AP37" s="135">
        <v>3</v>
      </c>
      <c r="AQ37" s="135" t="s">
        <v>224</v>
      </c>
      <c r="AR37" s="135">
        <f>(0.3*1.5*3)+(12*2)+(0.5*2)+(4.8*3)+(10)</f>
        <v>50.75</v>
      </c>
      <c r="AS37" s="135">
        <v>46.5166666666667</v>
      </c>
      <c r="AT37" s="135">
        <f t="shared" si="5"/>
        <v>1.09100680759584</v>
      </c>
      <c r="AU37" s="135" t="s">
        <v>49</v>
      </c>
      <c r="AV37" s="135" t="s">
        <v>50</v>
      </c>
    </row>
    <row r="38" ht="33" customHeight="1" spans="1:48">
      <c r="A38" s="135" t="s">
        <v>225</v>
      </c>
      <c r="B38" s="135" t="s">
        <v>37</v>
      </c>
      <c r="C38" s="135">
        <v>18</v>
      </c>
      <c r="D38" s="135" t="s">
        <v>226</v>
      </c>
      <c r="E38" s="135">
        <v>37</v>
      </c>
      <c r="F38" s="135">
        <v>160</v>
      </c>
      <c r="G38" s="135">
        <f t="shared" si="0"/>
        <v>14.453125</v>
      </c>
      <c r="H38" s="138" t="s">
        <v>227</v>
      </c>
      <c r="I38" s="135" t="s">
        <v>228</v>
      </c>
      <c r="J38" s="135">
        <v>1295</v>
      </c>
      <c r="K38" s="135">
        <v>2500</v>
      </c>
      <c r="L38" s="135">
        <f>2500/J38</f>
        <v>1.93050193050193</v>
      </c>
      <c r="M38" s="135" t="s">
        <v>86</v>
      </c>
      <c r="N38" s="135" t="s">
        <v>56</v>
      </c>
      <c r="O38" s="135">
        <v>2</v>
      </c>
      <c r="P38" s="135" t="s">
        <v>229</v>
      </c>
      <c r="Q38" s="135">
        <f>(129+193)*2</f>
        <v>644</v>
      </c>
      <c r="R38" s="135">
        <f>250</f>
        <v>250</v>
      </c>
      <c r="S38" s="135">
        <f t="shared" si="1"/>
        <v>894</v>
      </c>
      <c r="T38" s="135">
        <v>1213.6</v>
      </c>
      <c r="U38" s="135">
        <v>1456.32</v>
      </c>
      <c r="V38" s="135">
        <f t="shared" si="2"/>
        <v>0.613876071193144</v>
      </c>
      <c r="W38" s="135" t="s">
        <v>58</v>
      </c>
      <c r="X38" s="135" t="s">
        <v>230</v>
      </c>
      <c r="Y38" s="135" t="s">
        <v>46</v>
      </c>
      <c r="Z38" s="135" t="s">
        <v>47</v>
      </c>
      <c r="AA38" s="135" t="s">
        <v>231</v>
      </c>
      <c r="AB38" s="135" t="s">
        <v>229</v>
      </c>
      <c r="AC38" s="135">
        <v>2</v>
      </c>
      <c r="AD38" s="135">
        <f>(2.7*1*2)+(13.5*2)</f>
        <v>32.4</v>
      </c>
      <c r="AE38" s="135">
        <v>44.4</v>
      </c>
      <c r="AF38" s="135">
        <f t="shared" si="3"/>
        <v>0.72972972972973</v>
      </c>
      <c r="AG38" s="135" t="s">
        <v>49</v>
      </c>
      <c r="AH38" s="135" t="s">
        <v>229</v>
      </c>
      <c r="AI38" s="135">
        <v>2</v>
      </c>
      <c r="AJ38" s="135" t="s">
        <v>230</v>
      </c>
      <c r="AK38" s="135">
        <f>(28*1*2)+(6*2)+40</f>
        <v>108</v>
      </c>
      <c r="AL38" s="135">
        <v>236.652</v>
      </c>
      <c r="AM38" s="135">
        <f t="shared" si="4"/>
        <v>0.456366310024847</v>
      </c>
      <c r="AN38" s="135" t="s">
        <v>58</v>
      </c>
      <c r="AO38" s="135" t="s">
        <v>229</v>
      </c>
      <c r="AP38" s="135">
        <v>2</v>
      </c>
      <c r="AQ38" s="135" t="s">
        <v>230</v>
      </c>
      <c r="AR38" s="135">
        <f>(0.3*1*2)+(12.24*2)+(0.5*2)+22</f>
        <v>48.08</v>
      </c>
      <c r="AS38" s="135">
        <v>48.544</v>
      </c>
      <c r="AT38" s="135">
        <f t="shared" si="5"/>
        <v>0.990441661173369</v>
      </c>
      <c r="AU38" s="135" t="s">
        <v>49</v>
      </c>
      <c r="AV38" s="135" t="s">
        <v>50</v>
      </c>
    </row>
    <row r="39" ht="28.95" customHeight="1" spans="1:48">
      <c r="A39" s="135" t="s">
        <v>232</v>
      </c>
      <c r="B39" s="135" t="s">
        <v>37</v>
      </c>
      <c r="C39" s="135">
        <v>19</v>
      </c>
      <c r="D39" s="135" t="s">
        <v>53</v>
      </c>
      <c r="E39" s="135">
        <v>44</v>
      </c>
      <c r="F39" s="135">
        <v>156</v>
      </c>
      <c r="G39" s="135">
        <f t="shared" si="0"/>
        <v>18.0802103879027</v>
      </c>
      <c r="H39" s="138" t="s">
        <v>84</v>
      </c>
      <c r="I39" s="135">
        <v>1.5</v>
      </c>
      <c r="J39" s="135">
        <v>1540</v>
      </c>
      <c r="K39" s="135">
        <v>1500</v>
      </c>
      <c r="L39" s="135">
        <f>1500/J39</f>
        <v>0.974025974025974</v>
      </c>
      <c r="M39" s="135" t="s">
        <v>111</v>
      </c>
      <c r="N39" s="135" t="s">
        <v>42</v>
      </c>
      <c r="O39" s="135">
        <v>3</v>
      </c>
      <c r="P39" s="135" t="s">
        <v>233</v>
      </c>
      <c r="Q39" s="135">
        <f>(258+100+70)*3</f>
        <v>1284</v>
      </c>
      <c r="R39" s="135">
        <v>100</v>
      </c>
      <c r="S39" s="135">
        <f t="shared" si="1"/>
        <v>1384</v>
      </c>
      <c r="T39" s="135">
        <v>1268.9</v>
      </c>
      <c r="U39" s="135">
        <v>1320</v>
      </c>
      <c r="V39" s="135">
        <f t="shared" si="2"/>
        <v>1.04848484848485</v>
      </c>
      <c r="W39" s="135" t="s">
        <v>49</v>
      </c>
      <c r="X39" s="135" t="s">
        <v>234</v>
      </c>
      <c r="Y39" s="135" t="s">
        <v>46</v>
      </c>
      <c r="Z39" s="135" t="s">
        <v>47</v>
      </c>
      <c r="AA39" s="135" t="s">
        <v>168</v>
      </c>
      <c r="AB39" s="135" t="s">
        <v>233</v>
      </c>
      <c r="AC39" s="135">
        <v>3</v>
      </c>
      <c r="AD39" s="135">
        <f>(2.7*2*3)+(6.5*3)+(2.9*3)</f>
        <v>44.4</v>
      </c>
      <c r="AE39" s="135">
        <v>52.8</v>
      </c>
      <c r="AF39" s="135">
        <f t="shared" si="3"/>
        <v>0.840909090909091</v>
      </c>
      <c r="AG39" s="135" t="s">
        <v>49</v>
      </c>
      <c r="AH39" s="135" t="s">
        <v>233</v>
      </c>
      <c r="AI39" s="135">
        <v>3</v>
      </c>
      <c r="AJ39" s="135" t="s">
        <v>234</v>
      </c>
      <c r="AK39" s="135">
        <f>(28*2*3)+(0.6*3)+(6*3)+(13*3)+40+12</f>
        <v>278.8</v>
      </c>
      <c r="AL39" s="135">
        <v>214.5</v>
      </c>
      <c r="AM39" s="135">
        <f t="shared" si="4"/>
        <v>1.2997668997669</v>
      </c>
      <c r="AN39" s="135" t="s">
        <v>44</v>
      </c>
      <c r="AO39" s="135" t="s">
        <v>233</v>
      </c>
      <c r="AP39" s="135">
        <v>3</v>
      </c>
      <c r="AQ39" s="135" t="s">
        <v>234</v>
      </c>
      <c r="AR39" s="135">
        <f>(0.3*2*3)+(12.24*1.5)+(0.5*2)+3.2+6+3.2</f>
        <v>33.56</v>
      </c>
      <c r="AS39" s="135">
        <v>44</v>
      </c>
      <c r="AT39" s="135">
        <f t="shared" si="5"/>
        <v>0.762727272727273</v>
      </c>
      <c r="AU39" s="135" t="s">
        <v>49</v>
      </c>
      <c r="AV39" s="135" t="s">
        <v>50</v>
      </c>
    </row>
    <row r="40" ht="25.95" customHeight="1" spans="1:48">
      <c r="A40" s="139" t="s">
        <v>235</v>
      </c>
      <c r="B40" s="135" t="s">
        <v>37</v>
      </c>
      <c r="C40" s="135">
        <v>20</v>
      </c>
      <c r="D40" s="135" t="s">
        <v>75</v>
      </c>
      <c r="E40" s="135">
        <v>52</v>
      </c>
      <c r="F40" s="135">
        <v>160</v>
      </c>
      <c r="G40" s="135">
        <f t="shared" si="0"/>
        <v>20.3125</v>
      </c>
      <c r="H40" s="139" t="s">
        <v>54</v>
      </c>
      <c r="I40" s="139" t="s">
        <v>80</v>
      </c>
      <c r="J40" s="135">
        <f>E40*30</f>
        <v>1560</v>
      </c>
      <c r="K40" s="139">
        <v>2000</v>
      </c>
      <c r="L40" s="139">
        <f>2000/J40</f>
        <v>1.28205128205128</v>
      </c>
      <c r="M40" s="139" t="s">
        <v>86</v>
      </c>
      <c r="N40" s="139" t="s">
        <v>56</v>
      </c>
      <c r="O40" s="139">
        <v>3</v>
      </c>
      <c r="P40" s="135" t="s">
        <v>96</v>
      </c>
      <c r="Q40" s="135">
        <f>(129+70+193+45)*3</f>
        <v>1311</v>
      </c>
      <c r="R40" s="139">
        <v>210</v>
      </c>
      <c r="S40" s="135">
        <f t="shared" si="1"/>
        <v>1521</v>
      </c>
      <c r="T40" s="139">
        <f>52*25</f>
        <v>1300</v>
      </c>
      <c r="U40" s="139">
        <f>1.2*T40</f>
        <v>1560</v>
      </c>
      <c r="V40" s="139">
        <f t="shared" si="2"/>
        <v>0.975</v>
      </c>
      <c r="W40" s="139" t="s">
        <v>49</v>
      </c>
      <c r="X40" s="139" t="s">
        <v>97</v>
      </c>
      <c r="Y40" s="139" t="s">
        <v>50</v>
      </c>
      <c r="Z40" s="135" t="s">
        <v>72</v>
      </c>
      <c r="AA40" s="139" t="s">
        <v>98</v>
      </c>
      <c r="AB40" s="135" t="s">
        <v>99</v>
      </c>
      <c r="AC40" s="139">
        <v>3</v>
      </c>
      <c r="AD40" s="135">
        <f>(2.7*1*3)+(13.5*3)+(2.9*2)+(5.5*3)</f>
        <v>70.9</v>
      </c>
      <c r="AE40" s="139">
        <f>1.2*E40</f>
        <v>62.4</v>
      </c>
      <c r="AF40" s="135">
        <f t="shared" si="3"/>
        <v>1.13621794871795</v>
      </c>
      <c r="AG40" s="139" t="s">
        <v>44</v>
      </c>
      <c r="AH40" s="135" t="s">
        <v>99</v>
      </c>
      <c r="AI40" s="139">
        <v>3</v>
      </c>
      <c r="AJ40" s="139" t="s">
        <v>97</v>
      </c>
      <c r="AK40" s="135">
        <f>(28*1*3)+(13*2)+61+(13*3)</f>
        <v>210</v>
      </c>
      <c r="AL40" s="139">
        <f>(U40*55%)/4</f>
        <v>214.5</v>
      </c>
      <c r="AM40" s="139">
        <f t="shared" si="4"/>
        <v>0.979020979020979</v>
      </c>
      <c r="AN40" s="139" t="s">
        <v>49</v>
      </c>
      <c r="AO40" s="135" t="s">
        <v>99</v>
      </c>
      <c r="AP40" s="139">
        <v>3</v>
      </c>
      <c r="AQ40" s="139" t="s">
        <v>97</v>
      </c>
      <c r="AR40" s="135">
        <f>(0.3*1*3)+(12.24*2)+(0.5*3)+31</f>
        <v>57.88</v>
      </c>
      <c r="AS40" s="135">
        <f>(30%*U40)/9</f>
        <v>52</v>
      </c>
      <c r="AT40" s="139">
        <f t="shared" si="5"/>
        <v>1.11307692307692</v>
      </c>
      <c r="AU40" s="139" t="s">
        <v>44</v>
      </c>
      <c r="AV40" s="139" t="s">
        <v>50</v>
      </c>
    </row>
    <row r="41" customHeight="1" spans="1:48">
      <c r="A41" s="135" t="s">
        <v>236</v>
      </c>
      <c r="B41" s="135" t="s">
        <v>52</v>
      </c>
      <c r="C41" s="135">
        <v>20</v>
      </c>
      <c r="D41" s="135" t="s">
        <v>158</v>
      </c>
      <c r="E41" s="135">
        <v>69</v>
      </c>
      <c r="F41" s="135">
        <v>168</v>
      </c>
      <c r="G41" s="135">
        <f t="shared" si="0"/>
        <v>24.4472789115646</v>
      </c>
      <c r="H41" s="137" t="s">
        <v>117</v>
      </c>
      <c r="I41" s="135" t="s">
        <v>80</v>
      </c>
      <c r="J41" s="135">
        <v>2415</v>
      </c>
      <c r="K41" s="135">
        <v>2000</v>
      </c>
      <c r="L41" s="135">
        <f>2000/J41</f>
        <v>0.82815734989648</v>
      </c>
      <c r="M41" s="135" t="s">
        <v>49</v>
      </c>
      <c r="N41" s="135" t="s">
        <v>56</v>
      </c>
      <c r="O41" s="135">
        <v>3</v>
      </c>
      <c r="P41" s="135" t="s">
        <v>237</v>
      </c>
      <c r="Q41" s="135">
        <f>((2*175)+(245)+100)*3</f>
        <v>2085</v>
      </c>
      <c r="R41" s="135">
        <v>350</v>
      </c>
      <c r="S41" s="135">
        <f t="shared" si="1"/>
        <v>2435</v>
      </c>
      <c r="T41" s="135">
        <v>1715.7</v>
      </c>
      <c r="U41" s="135">
        <v>2058.84</v>
      </c>
      <c r="V41" s="135">
        <f t="shared" si="2"/>
        <v>1.18270482407569</v>
      </c>
      <c r="W41" s="135" t="s">
        <v>44</v>
      </c>
      <c r="X41" s="135" t="s">
        <v>238</v>
      </c>
      <c r="Y41" s="135" t="s">
        <v>50</v>
      </c>
      <c r="Z41" s="135" t="s">
        <v>72</v>
      </c>
      <c r="AA41" s="135" t="s">
        <v>98</v>
      </c>
      <c r="AB41" s="135" t="s">
        <v>237</v>
      </c>
      <c r="AC41" s="135">
        <v>3</v>
      </c>
      <c r="AD41" s="135">
        <f>(2.7*2*3)+(13.5*3)+(2.9*2)+(11*2)</f>
        <v>84.5</v>
      </c>
      <c r="AE41" s="135">
        <v>82.8</v>
      </c>
      <c r="AF41" s="135">
        <f t="shared" si="3"/>
        <v>1.02053140096618</v>
      </c>
      <c r="AG41" s="135" t="s">
        <v>49</v>
      </c>
      <c r="AH41" s="135" t="s">
        <v>237</v>
      </c>
      <c r="AI41" s="135">
        <v>3</v>
      </c>
      <c r="AJ41" s="135" t="s">
        <v>238</v>
      </c>
      <c r="AK41" s="135">
        <f>(28*2*3)+(0.6*3)+(6*3)+(13*3)+40</f>
        <v>266.8</v>
      </c>
      <c r="AL41" s="135">
        <v>283.0905</v>
      </c>
      <c r="AM41" s="135">
        <f t="shared" si="4"/>
        <v>0.942454798023953</v>
      </c>
      <c r="AN41" s="135" t="s">
        <v>49</v>
      </c>
      <c r="AO41" s="135" t="s">
        <v>237</v>
      </c>
      <c r="AP41" s="135">
        <v>3</v>
      </c>
      <c r="AQ41" s="135" t="s">
        <v>238</v>
      </c>
      <c r="AR41" s="135">
        <f>(0.3*2*3)+(12.24*3)+22</f>
        <v>60.52</v>
      </c>
      <c r="AS41" s="135">
        <v>68.628</v>
      </c>
      <c r="AT41" s="135">
        <f t="shared" si="5"/>
        <v>0.881855802296439</v>
      </c>
      <c r="AU41" s="135" t="s">
        <v>49</v>
      </c>
      <c r="AV41" s="135" t="s">
        <v>50</v>
      </c>
    </row>
    <row r="42" customHeight="1" spans="1:48">
      <c r="A42" s="135" t="s">
        <v>239</v>
      </c>
      <c r="B42" s="135" t="s">
        <v>37</v>
      </c>
      <c r="C42" s="135">
        <v>20</v>
      </c>
      <c r="D42" s="135" t="s">
        <v>172</v>
      </c>
      <c r="E42" s="135">
        <v>49</v>
      </c>
      <c r="F42" s="135">
        <v>147</v>
      </c>
      <c r="G42" s="135">
        <f t="shared" si="0"/>
        <v>22.6757369614512</v>
      </c>
      <c r="H42" s="137" t="s">
        <v>54</v>
      </c>
      <c r="I42" s="135" t="s">
        <v>240</v>
      </c>
      <c r="J42" s="135">
        <v>1715</v>
      </c>
      <c r="K42" s="135">
        <v>1500</v>
      </c>
      <c r="L42" s="135">
        <f>1500/J42</f>
        <v>0.87463556851312</v>
      </c>
      <c r="M42" s="135" t="s">
        <v>49</v>
      </c>
      <c r="N42" s="135" t="s">
        <v>42</v>
      </c>
      <c r="O42" s="135">
        <v>2</v>
      </c>
      <c r="P42" s="135" t="s">
        <v>241</v>
      </c>
      <c r="Q42" s="135">
        <f>(129+193+110+75)*2</f>
        <v>1014</v>
      </c>
      <c r="R42" s="135">
        <f>210+150+125</f>
        <v>485</v>
      </c>
      <c r="S42" s="135">
        <f t="shared" si="1"/>
        <v>1499</v>
      </c>
      <c r="T42" s="135">
        <v>1296</v>
      </c>
      <c r="U42" s="135">
        <v>1470</v>
      </c>
      <c r="V42" s="135">
        <f t="shared" si="2"/>
        <v>1.01972789115646</v>
      </c>
      <c r="W42" s="135" t="s">
        <v>49</v>
      </c>
      <c r="X42" s="135" t="s">
        <v>242</v>
      </c>
      <c r="Y42" s="135" t="s">
        <v>46</v>
      </c>
      <c r="Z42" s="135" t="s">
        <v>47</v>
      </c>
      <c r="AA42" s="135" t="s">
        <v>73</v>
      </c>
      <c r="AB42" s="135" t="s">
        <v>243</v>
      </c>
      <c r="AC42" s="135">
        <v>2</v>
      </c>
      <c r="AD42" s="135">
        <f>(2.7*1*2)+(13.5*2)+(2.9*1)+11</f>
        <v>46.3</v>
      </c>
      <c r="AE42" s="135">
        <v>58.8</v>
      </c>
      <c r="AF42" s="135">
        <f t="shared" si="3"/>
        <v>0.787414965986395</v>
      </c>
      <c r="AG42" s="135" t="s">
        <v>49</v>
      </c>
      <c r="AH42" s="135" t="s">
        <v>243</v>
      </c>
      <c r="AI42" s="135">
        <v>2</v>
      </c>
      <c r="AJ42" s="135" t="s">
        <v>242</v>
      </c>
      <c r="AK42" s="135">
        <f>(28*1*2)+(6*3)+(0.6*2)+10+61+12+40</f>
        <v>198.2</v>
      </c>
      <c r="AL42" s="135">
        <v>202.125</v>
      </c>
      <c r="AM42" s="135">
        <f t="shared" si="4"/>
        <v>0.980581323438466</v>
      </c>
      <c r="AN42" s="135" t="s">
        <v>49</v>
      </c>
      <c r="AO42" s="135" t="s">
        <v>243</v>
      </c>
      <c r="AP42" s="135">
        <v>2</v>
      </c>
      <c r="AQ42" s="135" t="s">
        <v>242</v>
      </c>
      <c r="AR42" s="135">
        <f>(0.3*1*2)+(12.24*2)+(0.5*2)+31+0.5</f>
        <v>57.58</v>
      </c>
      <c r="AS42" s="135">
        <v>49</v>
      </c>
      <c r="AT42" s="135">
        <f t="shared" si="5"/>
        <v>1.17510204081633</v>
      </c>
      <c r="AU42" s="135" t="s">
        <v>44</v>
      </c>
      <c r="AV42" s="135" t="s">
        <v>50</v>
      </c>
    </row>
    <row r="44" customHeight="1" spans="20:20">
      <c r="T44" s="108" t="s">
        <v>244</v>
      </c>
    </row>
    <row r="45" customHeight="1" spans="20:20">
      <c r="T45" s="108" t="s">
        <v>245</v>
      </c>
    </row>
    <row r="46" customHeight="1" spans="20:20">
      <c r="T46" s="108" t="s">
        <v>246</v>
      </c>
    </row>
    <row r="47" customHeight="1" spans="20:20">
      <c r="T47" s="108" t="s">
        <v>247</v>
      </c>
    </row>
  </sheetData>
  <autoFilter ref="A1:AV42">
    <sortState ref="A1:AV42">
      <sortCondition ref="A1:A36"/>
    </sortState>
    <extLst/>
  </autoFilter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95"/>
  <sheetViews>
    <sheetView zoomScale="70" zoomScaleNormal="70" workbookViewId="0">
      <pane ySplit="1" topLeftCell="A2" activePane="bottomLeft" state="frozen"/>
      <selection/>
      <selection pane="bottomLeft" activeCell="A1" sqref="A1"/>
    </sheetView>
  </sheetViews>
  <sheetFormatPr defaultColWidth="12.6666666666667" defaultRowHeight="15.75" customHeight="1"/>
  <cols>
    <col min="1" max="1" width="34.3333333333333" customWidth="1"/>
    <col min="2" max="8" width="18.8857142857143" customWidth="1"/>
    <col min="9" max="10" width="29.6666666666667" style="108" customWidth="1"/>
    <col min="11" max="15" width="18.8857142857143" style="108" customWidth="1"/>
  </cols>
  <sheetData>
    <row r="1" s="107" customFormat="1" ht="54" customHeight="1" spans="1:15">
      <c r="A1" s="109" t="s">
        <v>0</v>
      </c>
      <c r="B1" s="109" t="s">
        <v>1</v>
      </c>
      <c r="C1" s="109" t="s">
        <v>3</v>
      </c>
      <c r="D1" s="109" t="s">
        <v>4</v>
      </c>
      <c r="E1" s="109" t="s">
        <v>5</v>
      </c>
      <c r="F1" s="109" t="s">
        <v>6</v>
      </c>
      <c r="G1" s="110" t="s">
        <v>7</v>
      </c>
      <c r="H1" s="110" t="s">
        <v>248</v>
      </c>
      <c r="I1" s="128" t="s">
        <v>12</v>
      </c>
      <c r="J1" s="128" t="s">
        <v>249</v>
      </c>
      <c r="K1" s="128" t="s">
        <v>14</v>
      </c>
      <c r="L1" s="128" t="s">
        <v>31</v>
      </c>
      <c r="M1" s="128" t="s">
        <v>28</v>
      </c>
      <c r="N1" s="128" t="s">
        <v>34</v>
      </c>
      <c r="O1" s="128" t="s">
        <v>21</v>
      </c>
    </row>
    <row r="2" ht="49.95" customHeight="1" spans="1:15">
      <c r="A2" s="111" t="s">
        <v>36</v>
      </c>
      <c r="B2" s="111" t="s">
        <v>37</v>
      </c>
      <c r="C2" s="111" t="s">
        <v>38</v>
      </c>
      <c r="D2" s="111">
        <v>75</v>
      </c>
      <c r="E2" s="111">
        <v>165</v>
      </c>
      <c r="F2" s="112">
        <f t="shared" ref="F2:F32" si="0">(D2/(E2*E2))*10000</f>
        <v>27.5482093663912</v>
      </c>
      <c r="G2" s="113" t="s">
        <v>39</v>
      </c>
      <c r="H2" s="113">
        <f t="shared" ref="H2:H42" si="1">VLOOKUP(G2,$A$50:$B$53,2,FALSE)</f>
        <v>3</v>
      </c>
      <c r="I2" s="116" t="s">
        <v>41</v>
      </c>
      <c r="J2" s="116" t="s">
        <v>50</v>
      </c>
      <c r="K2" s="116">
        <v>3</v>
      </c>
      <c r="L2" s="116" t="s">
        <v>44</v>
      </c>
      <c r="M2" s="116" t="s">
        <v>49</v>
      </c>
      <c r="N2" s="116" t="s">
        <v>44</v>
      </c>
      <c r="O2" s="116" t="s">
        <v>44</v>
      </c>
    </row>
    <row r="3" ht="58.95" customHeight="1" spans="1:15">
      <c r="A3" s="111" t="s">
        <v>51</v>
      </c>
      <c r="B3" s="111" t="s">
        <v>52</v>
      </c>
      <c r="C3" s="111" t="s">
        <v>53</v>
      </c>
      <c r="D3" s="111">
        <v>64</v>
      </c>
      <c r="E3" s="111">
        <v>171</v>
      </c>
      <c r="F3" s="112">
        <f t="shared" si="0"/>
        <v>21.8870763653774</v>
      </c>
      <c r="G3" s="114" t="s">
        <v>54</v>
      </c>
      <c r="H3" s="115">
        <f t="shared" si="1"/>
        <v>2</v>
      </c>
      <c r="I3" s="116" t="s">
        <v>49</v>
      </c>
      <c r="J3" s="116" t="s">
        <v>250</v>
      </c>
      <c r="K3" s="116">
        <v>2</v>
      </c>
      <c r="L3" s="116" t="s">
        <v>58</v>
      </c>
      <c r="M3" s="116" t="s">
        <v>41</v>
      </c>
      <c r="N3" s="116" t="s">
        <v>49</v>
      </c>
      <c r="O3" s="116" t="s">
        <v>58</v>
      </c>
    </row>
    <row r="4" ht="39" customHeight="1" spans="1:15">
      <c r="A4" s="111" t="s">
        <v>61</v>
      </c>
      <c r="B4" s="111" t="s">
        <v>52</v>
      </c>
      <c r="C4" s="111" t="s">
        <v>62</v>
      </c>
      <c r="D4" s="111">
        <v>87</v>
      </c>
      <c r="E4" s="111">
        <v>166</v>
      </c>
      <c r="F4" s="112">
        <f t="shared" si="0"/>
        <v>31.5720714182029</v>
      </c>
      <c r="G4" s="113" t="s">
        <v>63</v>
      </c>
      <c r="H4" s="113">
        <f t="shared" si="1"/>
        <v>4</v>
      </c>
      <c r="I4" s="116" t="s">
        <v>49</v>
      </c>
      <c r="J4" s="116" t="s">
        <v>50</v>
      </c>
      <c r="K4" s="116">
        <v>2</v>
      </c>
      <c r="L4" s="116" t="s">
        <v>49</v>
      </c>
      <c r="M4" s="116" t="s">
        <v>49</v>
      </c>
      <c r="N4" s="116" t="s">
        <v>44</v>
      </c>
      <c r="O4" s="116" t="s">
        <v>49</v>
      </c>
    </row>
    <row r="5" ht="42" customHeight="1" spans="1:15">
      <c r="A5" s="116" t="s">
        <v>67</v>
      </c>
      <c r="B5" s="116" t="s">
        <v>37</v>
      </c>
      <c r="C5" s="116" t="s">
        <v>68</v>
      </c>
      <c r="D5" s="116">
        <v>49</v>
      </c>
      <c r="E5" s="116">
        <v>152</v>
      </c>
      <c r="F5" s="117">
        <f t="shared" si="0"/>
        <v>21.2084487534626</v>
      </c>
      <c r="G5" s="114" t="s">
        <v>54</v>
      </c>
      <c r="H5" s="115">
        <f t="shared" si="1"/>
        <v>2</v>
      </c>
      <c r="I5" s="116" t="s">
        <v>49</v>
      </c>
      <c r="J5" s="116" t="s">
        <v>250</v>
      </c>
      <c r="K5" s="116">
        <v>2</v>
      </c>
      <c r="L5" s="116" t="s">
        <v>49</v>
      </c>
      <c r="M5" s="116" t="s">
        <v>58</v>
      </c>
      <c r="N5" s="116" t="s">
        <v>44</v>
      </c>
      <c r="O5" s="116" t="s">
        <v>49</v>
      </c>
    </row>
    <row r="6" ht="91.95" customHeight="1" spans="1:15">
      <c r="A6" s="111" t="s">
        <v>78</v>
      </c>
      <c r="B6" s="111" t="s">
        <v>52</v>
      </c>
      <c r="C6" s="111" t="s">
        <v>79</v>
      </c>
      <c r="D6" s="111">
        <v>67</v>
      </c>
      <c r="E6" s="111">
        <v>175</v>
      </c>
      <c r="F6" s="112">
        <f t="shared" si="0"/>
        <v>21.8775510204082</v>
      </c>
      <c r="G6" s="114" t="s">
        <v>54</v>
      </c>
      <c r="H6" s="115">
        <f t="shared" si="1"/>
        <v>2</v>
      </c>
      <c r="I6" s="116" t="s">
        <v>49</v>
      </c>
      <c r="J6" s="116" t="s">
        <v>250</v>
      </c>
      <c r="K6" s="116">
        <v>4</v>
      </c>
      <c r="L6" s="116" t="s">
        <v>49</v>
      </c>
      <c r="M6" s="116" t="s">
        <v>49</v>
      </c>
      <c r="N6" s="116" t="s">
        <v>49</v>
      </c>
      <c r="O6" s="116" t="s">
        <v>49</v>
      </c>
    </row>
    <row r="7" ht="52.05" customHeight="1" spans="1:15">
      <c r="A7" s="111" t="s">
        <v>251</v>
      </c>
      <c r="B7" s="111" t="s">
        <v>37</v>
      </c>
      <c r="C7" s="111" t="s">
        <v>75</v>
      </c>
      <c r="D7" s="111">
        <v>50</v>
      </c>
      <c r="E7" s="111">
        <v>165</v>
      </c>
      <c r="F7" s="112">
        <f t="shared" si="0"/>
        <v>18.3654729109275</v>
      </c>
      <c r="G7" s="114" t="s">
        <v>54</v>
      </c>
      <c r="H7" s="115">
        <f t="shared" si="1"/>
        <v>2</v>
      </c>
      <c r="I7" s="116" t="s">
        <v>41</v>
      </c>
      <c r="J7" s="116" t="s">
        <v>50</v>
      </c>
      <c r="K7" s="116">
        <v>2</v>
      </c>
      <c r="L7" s="116" t="s">
        <v>49</v>
      </c>
      <c r="M7" s="116" t="s">
        <v>58</v>
      </c>
      <c r="N7" s="116" t="s">
        <v>44</v>
      </c>
      <c r="O7" s="116" t="s">
        <v>49</v>
      </c>
    </row>
    <row r="8" ht="46.05" customHeight="1" spans="1:15">
      <c r="A8" s="111" t="s">
        <v>83</v>
      </c>
      <c r="B8" s="111" t="s">
        <v>37</v>
      </c>
      <c r="C8" s="111" t="s">
        <v>53</v>
      </c>
      <c r="D8" s="111">
        <v>44</v>
      </c>
      <c r="E8" s="111">
        <v>156</v>
      </c>
      <c r="F8" s="112">
        <f t="shared" si="0"/>
        <v>18.0802103879027</v>
      </c>
      <c r="G8" s="118" t="s">
        <v>84</v>
      </c>
      <c r="H8" s="119">
        <f t="shared" si="1"/>
        <v>1</v>
      </c>
      <c r="I8" s="116" t="s">
        <v>86</v>
      </c>
      <c r="J8" s="116" t="s">
        <v>250</v>
      </c>
      <c r="K8" s="116">
        <v>2</v>
      </c>
      <c r="L8" s="116" t="s">
        <v>49</v>
      </c>
      <c r="M8" s="116" t="s">
        <v>49</v>
      </c>
      <c r="N8" s="116" t="s">
        <v>44</v>
      </c>
      <c r="O8" s="116" t="s">
        <v>49</v>
      </c>
    </row>
    <row r="9" ht="57" customHeight="1" spans="1:15">
      <c r="A9" s="111" t="s">
        <v>90</v>
      </c>
      <c r="B9" s="111" t="s">
        <v>37</v>
      </c>
      <c r="C9" s="111" t="s">
        <v>91</v>
      </c>
      <c r="D9" s="111">
        <v>53</v>
      </c>
      <c r="E9" s="111">
        <v>167</v>
      </c>
      <c r="F9" s="112">
        <f t="shared" si="0"/>
        <v>19.0039083509627</v>
      </c>
      <c r="G9" s="114" t="s">
        <v>54</v>
      </c>
      <c r="H9" s="115">
        <f t="shared" si="1"/>
        <v>2</v>
      </c>
      <c r="I9" s="116" t="s">
        <v>86</v>
      </c>
      <c r="J9" s="116" t="s">
        <v>50</v>
      </c>
      <c r="K9" s="116">
        <v>2</v>
      </c>
      <c r="L9" s="116" t="s">
        <v>44</v>
      </c>
      <c r="M9" s="116" t="s">
        <v>58</v>
      </c>
      <c r="N9" s="116" t="s">
        <v>49</v>
      </c>
      <c r="O9" s="116" t="s">
        <v>58</v>
      </c>
    </row>
    <row r="10" ht="54" customHeight="1" spans="1:15">
      <c r="A10" s="120" t="s">
        <v>95</v>
      </c>
      <c r="B10" s="111" t="s">
        <v>37</v>
      </c>
      <c r="C10" s="111" t="s">
        <v>75</v>
      </c>
      <c r="D10" s="111">
        <v>52</v>
      </c>
      <c r="E10" s="111">
        <v>160</v>
      </c>
      <c r="F10" s="117">
        <f t="shared" si="0"/>
        <v>20.3125</v>
      </c>
      <c r="G10" s="114" t="s">
        <v>54</v>
      </c>
      <c r="H10" s="115">
        <f t="shared" si="1"/>
        <v>2</v>
      </c>
      <c r="I10" s="122" t="s">
        <v>86</v>
      </c>
      <c r="J10" s="116" t="s">
        <v>250</v>
      </c>
      <c r="K10" s="122">
        <v>3</v>
      </c>
      <c r="L10" s="122" t="s">
        <v>49</v>
      </c>
      <c r="M10" s="122" t="s">
        <v>44</v>
      </c>
      <c r="N10" s="122" t="s">
        <v>44</v>
      </c>
      <c r="O10" s="122" t="s">
        <v>49</v>
      </c>
    </row>
    <row r="11" ht="61.95" customHeight="1" spans="1:15">
      <c r="A11" s="120" t="s">
        <v>100</v>
      </c>
      <c r="B11" s="120" t="s">
        <v>52</v>
      </c>
      <c r="C11" s="116" t="s">
        <v>68</v>
      </c>
      <c r="D11" s="120">
        <v>65</v>
      </c>
      <c r="E11" s="120">
        <v>170</v>
      </c>
      <c r="F11" s="117">
        <f t="shared" si="0"/>
        <v>22.4913494809689</v>
      </c>
      <c r="G11" s="114" t="s">
        <v>54</v>
      </c>
      <c r="H11" s="115">
        <f t="shared" si="1"/>
        <v>2</v>
      </c>
      <c r="I11" s="122" t="s">
        <v>49</v>
      </c>
      <c r="J11" s="116" t="s">
        <v>250</v>
      </c>
      <c r="K11" s="122">
        <v>3</v>
      </c>
      <c r="L11" s="122" t="s">
        <v>49</v>
      </c>
      <c r="M11" s="122" t="s">
        <v>49</v>
      </c>
      <c r="N11" s="122" t="s">
        <v>49</v>
      </c>
      <c r="O11" s="122" t="s">
        <v>49</v>
      </c>
    </row>
    <row r="12" ht="63" customHeight="1" spans="1:15">
      <c r="A12" s="111" t="s">
        <v>103</v>
      </c>
      <c r="B12" s="111" t="s">
        <v>37</v>
      </c>
      <c r="C12" s="111" t="s">
        <v>68</v>
      </c>
      <c r="D12" s="111">
        <v>42</v>
      </c>
      <c r="E12" s="111">
        <v>152</v>
      </c>
      <c r="F12" s="112">
        <f t="shared" si="0"/>
        <v>18.1786703601108</v>
      </c>
      <c r="G12" s="118" t="s">
        <v>84</v>
      </c>
      <c r="H12" s="121">
        <f t="shared" si="1"/>
        <v>1</v>
      </c>
      <c r="I12" s="116" t="s">
        <v>41</v>
      </c>
      <c r="J12" s="116" t="s">
        <v>250</v>
      </c>
      <c r="K12" s="116">
        <v>3</v>
      </c>
      <c r="L12" s="116" t="s">
        <v>49</v>
      </c>
      <c r="M12" s="116" t="s">
        <v>49</v>
      </c>
      <c r="N12" s="116" t="s">
        <v>49</v>
      </c>
      <c r="O12" s="116" t="s">
        <v>49</v>
      </c>
    </row>
    <row r="13" ht="43.95" customHeight="1" spans="1:15">
      <c r="A13" s="111" t="s">
        <v>108</v>
      </c>
      <c r="B13" s="111" t="s">
        <v>37</v>
      </c>
      <c r="C13" s="111" t="s">
        <v>109</v>
      </c>
      <c r="D13" s="111">
        <v>50</v>
      </c>
      <c r="E13" s="111">
        <v>160</v>
      </c>
      <c r="F13" s="112">
        <f t="shared" si="0"/>
        <v>19.53125</v>
      </c>
      <c r="G13" s="114" t="s">
        <v>54</v>
      </c>
      <c r="H13" s="115">
        <f t="shared" si="1"/>
        <v>2</v>
      </c>
      <c r="I13" s="116" t="s">
        <v>111</v>
      </c>
      <c r="J13" s="116" t="s">
        <v>250</v>
      </c>
      <c r="K13" s="116">
        <v>2</v>
      </c>
      <c r="L13" s="116" t="s">
        <v>44</v>
      </c>
      <c r="M13" s="116" t="s">
        <v>58</v>
      </c>
      <c r="N13" s="116" t="s">
        <v>44</v>
      </c>
      <c r="O13" s="116" t="s">
        <v>49</v>
      </c>
    </row>
    <row r="14" ht="61.95" customHeight="1" spans="1:15">
      <c r="A14" s="111" t="s">
        <v>115</v>
      </c>
      <c r="B14" s="111" t="s">
        <v>52</v>
      </c>
      <c r="C14" s="111" t="s">
        <v>116</v>
      </c>
      <c r="D14" s="111">
        <v>75</v>
      </c>
      <c r="E14" s="111">
        <v>175</v>
      </c>
      <c r="F14" s="112">
        <f t="shared" si="0"/>
        <v>24.4897959183673</v>
      </c>
      <c r="G14" s="114" t="s">
        <v>54</v>
      </c>
      <c r="H14" s="115">
        <f t="shared" si="1"/>
        <v>2</v>
      </c>
      <c r="I14" s="116" t="s">
        <v>111</v>
      </c>
      <c r="J14" s="116" t="s">
        <v>250</v>
      </c>
      <c r="K14" s="116">
        <v>1</v>
      </c>
      <c r="L14" s="116" t="s">
        <v>58</v>
      </c>
      <c r="M14" s="116" t="s">
        <v>41</v>
      </c>
      <c r="N14" s="116" t="s">
        <v>41</v>
      </c>
      <c r="O14" s="116" t="s">
        <v>41</v>
      </c>
    </row>
    <row r="15" ht="55.05" customHeight="1" spans="1:15">
      <c r="A15" s="111" t="s">
        <v>121</v>
      </c>
      <c r="B15" s="111" t="s">
        <v>37</v>
      </c>
      <c r="C15" s="111" t="s">
        <v>122</v>
      </c>
      <c r="D15" s="111">
        <v>47</v>
      </c>
      <c r="E15" s="111">
        <v>160</v>
      </c>
      <c r="F15" s="112">
        <f t="shared" si="0"/>
        <v>18.359375</v>
      </c>
      <c r="G15" s="114" t="s">
        <v>54</v>
      </c>
      <c r="H15" s="115">
        <f t="shared" si="1"/>
        <v>2</v>
      </c>
      <c r="I15" s="116" t="s">
        <v>86</v>
      </c>
      <c r="J15" s="116" t="s">
        <v>250</v>
      </c>
      <c r="K15" s="116">
        <v>3</v>
      </c>
      <c r="L15" s="116" t="s">
        <v>49</v>
      </c>
      <c r="M15" s="116" t="s">
        <v>49</v>
      </c>
      <c r="N15" s="116" t="s">
        <v>44</v>
      </c>
      <c r="O15" s="116" t="s">
        <v>44</v>
      </c>
    </row>
    <row r="16" ht="90" customHeight="1" spans="1:15">
      <c r="A16" s="111" t="s">
        <v>127</v>
      </c>
      <c r="B16" s="111" t="s">
        <v>52</v>
      </c>
      <c r="C16" s="111" t="s">
        <v>128</v>
      </c>
      <c r="D16" s="111">
        <v>76</v>
      </c>
      <c r="E16" s="111">
        <v>180</v>
      </c>
      <c r="F16" s="112">
        <f t="shared" si="0"/>
        <v>23.4567901234568</v>
      </c>
      <c r="G16" s="114" t="s">
        <v>54</v>
      </c>
      <c r="H16" s="115">
        <f t="shared" si="1"/>
        <v>2</v>
      </c>
      <c r="I16" s="116" t="s">
        <v>86</v>
      </c>
      <c r="J16" s="116" t="s">
        <v>50</v>
      </c>
      <c r="K16" s="116">
        <v>2</v>
      </c>
      <c r="L16" s="116" t="s">
        <v>49</v>
      </c>
      <c r="M16" s="116" t="s">
        <v>41</v>
      </c>
      <c r="N16" s="116" t="s">
        <v>49</v>
      </c>
      <c r="O16" s="116" t="s">
        <v>58</v>
      </c>
    </row>
    <row r="17" ht="91.05" customHeight="1" spans="1:15">
      <c r="A17" s="111" t="s">
        <v>133</v>
      </c>
      <c r="B17" s="111" t="s">
        <v>37</v>
      </c>
      <c r="C17" s="111">
        <v>20</v>
      </c>
      <c r="D17" s="111">
        <v>60</v>
      </c>
      <c r="E17" s="111">
        <v>164</v>
      </c>
      <c r="F17" s="112">
        <f t="shared" si="0"/>
        <v>22.3081499107674</v>
      </c>
      <c r="G17" s="114" t="s">
        <v>54</v>
      </c>
      <c r="H17" s="115">
        <f t="shared" si="1"/>
        <v>2</v>
      </c>
      <c r="I17" s="116" t="s">
        <v>111</v>
      </c>
      <c r="J17" s="116" t="s">
        <v>250</v>
      </c>
      <c r="K17" s="116">
        <v>2</v>
      </c>
      <c r="L17" s="116" t="s">
        <v>49</v>
      </c>
      <c r="M17" s="116" t="s">
        <v>49</v>
      </c>
      <c r="N17" s="116" t="s">
        <v>44</v>
      </c>
      <c r="O17" s="116" t="s">
        <v>49</v>
      </c>
    </row>
    <row r="18" ht="45" customHeight="1" spans="1:15">
      <c r="A18" s="120" t="s">
        <v>138</v>
      </c>
      <c r="B18" s="120" t="s">
        <v>52</v>
      </c>
      <c r="C18" s="116" t="s">
        <v>68</v>
      </c>
      <c r="D18" s="122">
        <v>62</v>
      </c>
      <c r="E18" s="122">
        <v>172</v>
      </c>
      <c r="F18" s="117">
        <f t="shared" si="0"/>
        <v>20.9572742022715</v>
      </c>
      <c r="G18" s="114" t="s">
        <v>54</v>
      </c>
      <c r="H18" s="115">
        <f t="shared" si="1"/>
        <v>2</v>
      </c>
      <c r="I18" s="122" t="s">
        <v>49</v>
      </c>
      <c r="J18" s="116" t="s">
        <v>250</v>
      </c>
      <c r="K18" s="122">
        <v>2</v>
      </c>
      <c r="L18" s="122" t="s">
        <v>58</v>
      </c>
      <c r="M18" s="122" t="s">
        <v>49</v>
      </c>
      <c r="N18" s="122" t="s">
        <v>49</v>
      </c>
      <c r="O18" s="122" t="s">
        <v>58</v>
      </c>
    </row>
    <row r="19" ht="66" customHeight="1" spans="1:15">
      <c r="A19" s="111" t="s">
        <v>140</v>
      </c>
      <c r="B19" s="111" t="s">
        <v>37</v>
      </c>
      <c r="C19" s="111" t="s">
        <v>53</v>
      </c>
      <c r="D19" s="111">
        <v>59</v>
      </c>
      <c r="E19" s="111">
        <v>155</v>
      </c>
      <c r="F19" s="112">
        <f t="shared" si="0"/>
        <v>24.5577523413111</v>
      </c>
      <c r="G19" s="113" t="s">
        <v>39</v>
      </c>
      <c r="H19" s="113">
        <f t="shared" si="1"/>
        <v>3</v>
      </c>
      <c r="I19" s="116" t="s">
        <v>142</v>
      </c>
      <c r="J19" s="116" t="s">
        <v>250</v>
      </c>
      <c r="K19" s="116">
        <v>3</v>
      </c>
      <c r="L19" s="116" t="s">
        <v>44</v>
      </c>
      <c r="M19" s="116" t="s">
        <v>49</v>
      </c>
      <c r="N19" s="116" t="s">
        <v>44</v>
      </c>
      <c r="O19" s="116" t="s">
        <v>49</v>
      </c>
    </row>
    <row r="20" ht="64.05" customHeight="1" spans="1:15">
      <c r="A20" s="111" t="s">
        <v>146</v>
      </c>
      <c r="B20" s="111" t="s">
        <v>52</v>
      </c>
      <c r="C20" s="111" t="s">
        <v>147</v>
      </c>
      <c r="D20" s="111">
        <v>48</v>
      </c>
      <c r="E20" s="111">
        <v>164</v>
      </c>
      <c r="F20" s="112">
        <f t="shared" si="0"/>
        <v>17.8465199286139</v>
      </c>
      <c r="G20" s="118" t="s">
        <v>84</v>
      </c>
      <c r="H20" s="121">
        <f t="shared" si="1"/>
        <v>1</v>
      </c>
      <c r="I20" s="116" t="s">
        <v>86</v>
      </c>
      <c r="J20" s="116" t="s">
        <v>50</v>
      </c>
      <c r="K20" s="116">
        <v>2</v>
      </c>
      <c r="L20" s="116" t="s">
        <v>58</v>
      </c>
      <c r="M20" s="116" t="s">
        <v>41</v>
      </c>
      <c r="N20" s="116" t="s">
        <v>49</v>
      </c>
      <c r="O20" s="116" t="s">
        <v>58</v>
      </c>
    </row>
    <row r="21" ht="48" customHeight="1" spans="1:15">
      <c r="A21" s="111" t="s">
        <v>152</v>
      </c>
      <c r="B21" s="111" t="s">
        <v>37</v>
      </c>
      <c r="C21" s="111" t="s">
        <v>68</v>
      </c>
      <c r="D21" s="111">
        <v>52</v>
      </c>
      <c r="E21" s="111">
        <v>158</v>
      </c>
      <c r="F21" s="112">
        <f t="shared" si="0"/>
        <v>20.829995193078</v>
      </c>
      <c r="G21" s="114" t="s">
        <v>54</v>
      </c>
      <c r="H21" s="115">
        <f t="shared" si="1"/>
        <v>2</v>
      </c>
      <c r="I21" s="116" t="s">
        <v>142</v>
      </c>
      <c r="J21" s="116" t="s">
        <v>50</v>
      </c>
      <c r="K21" s="116">
        <v>2</v>
      </c>
      <c r="L21" s="116" t="s">
        <v>44</v>
      </c>
      <c r="M21" s="116" t="s">
        <v>58</v>
      </c>
      <c r="N21" s="116" t="s">
        <v>44</v>
      </c>
      <c r="O21" s="116" t="s">
        <v>44</v>
      </c>
    </row>
    <row r="22" ht="36" customHeight="1" spans="1:15">
      <c r="A22" s="111" t="s">
        <v>157</v>
      </c>
      <c r="B22" s="111" t="s">
        <v>52</v>
      </c>
      <c r="C22" s="111" t="s">
        <v>158</v>
      </c>
      <c r="D22" s="111">
        <v>65</v>
      </c>
      <c r="E22" s="111">
        <v>165</v>
      </c>
      <c r="F22" s="112">
        <f t="shared" si="0"/>
        <v>23.8751147842057</v>
      </c>
      <c r="G22" s="114" t="s">
        <v>54</v>
      </c>
      <c r="H22" s="115">
        <f t="shared" si="1"/>
        <v>2</v>
      </c>
      <c r="I22" s="116" t="s">
        <v>111</v>
      </c>
      <c r="J22" s="116" t="s">
        <v>50</v>
      </c>
      <c r="K22" s="116">
        <v>2</v>
      </c>
      <c r="L22" s="116" t="s">
        <v>49</v>
      </c>
      <c r="M22" s="116" t="s">
        <v>58</v>
      </c>
      <c r="N22" s="116" t="s">
        <v>49</v>
      </c>
      <c r="O22" s="116" t="s">
        <v>49</v>
      </c>
    </row>
    <row r="23" ht="36" customHeight="1" spans="1:15">
      <c r="A23" s="120" t="s">
        <v>162</v>
      </c>
      <c r="B23" s="111" t="s">
        <v>37</v>
      </c>
      <c r="C23" s="111" t="s">
        <v>75</v>
      </c>
      <c r="D23" s="111">
        <v>52</v>
      </c>
      <c r="E23" s="111">
        <v>160</v>
      </c>
      <c r="F23" s="117">
        <f t="shared" si="0"/>
        <v>20.3125</v>
      </c>
      <c r="G23" s="114" t="s">
        <v>54</v>
      </c>
      <c r="H23" s="115">
        <f t="shared" si="1"/>
        <v>2</v>
      </c>
      <c r="I23" s="122" t="s">
        <v>86</v>
      </c>
      <c r="J23" s="116" t="s">
        <v>250</v>
      </c>
      <c r="K23" s="122">
        <v>3</v>
      </c>
      <c r="L23" s="122" t="s">
        <v>49</v>
      </c>
      <c r="M23" s="122" t="s">
        <v>44</v>
      </c>
      <c r="N23" s="122" t="s">
        <v>44</v>
      </c>
      <c r="O23" s="122" t="s">
        <v>49</v>
      </c>
    </row>
    <row r="24" ht="40.05" customHeight="1" spans="1:15">
      <c r="A24" s="111" t="s">
        <v>163</v>
      </c>
      <c r="B24" s="111" t="s">
        <v>37</v>
      </c>
      <c r="C24" s="111" t="s">
        <v>164</v>
      </c>
      <c r="D24" s="111">
        <v>68</v>
      </c>
      <c r="E24" s="111">
        <v>163</v>
      </c>
      <c r="F24" s="112">
        <f t="shared" si="0"/>
        <v>25.5937370619895</v>
      </c>
      <c r="G24" s="113" t="s">
        <v>39</v>
      </c>
      <c r="H24" s="113">
        <f t="shared" si="1"/>
        <v>3</v>
      </c>
      <c r="I24" s="116" t="s">
        <v>41</v>
      </c>
      <c r="J24" s="116" t="s">
        <v>50</v>
      </c>
      <c r="K24" s="116">
        <v>3</v>
      </c>
      <c r="L24" s="116" t="s">
        <v>44</v>
      </c>
      <c r="M24" s="116" t="s">
        <v>58</v>
      </c>
      <c r="N24" s="116" t="s">
        <v>44</v>
      </c>
      <c r="O24" s="116" t="s">
        <v>49</v>
      </c>
    </row>
    <row r="25" ht="55.95" customHeight="1" spans="1:15">
      <c r="A25" s="111" t="s">
        <v>169</v>
      </c>
      <c r="B25" s="111" t="s">
        <v>37</v>
      </c>
      <c r="C25" s="111" t="s">
        <v>53</v>
      </c>
      <c r="D25" s="111">
        <v>71</v>
      </c>
      <c r="E25" s="111">
        <v>158</v>
      </c>
      <c r="F25" s="112">
        <f t="shared" si="0"/>
        <v>28.4409549751642</v>
      </c>
      <c r="G25" s="113" t="s">
        <v>63</v>
      </c>
      <c r="H25" s="113">
        <f t="shared" si="1"/>
        <v>4</v>
      </c>
      <c r="I25" s="116" t="s">
        <v>41</v>
      </c>
      <c r="J25" s="116" t="s">
        <v>50</v>
      </c>
      <c r="K25" s="116">
        <v>2</v>
      </c>
      <c r="L25" s="116" t="s">
        <v>44</v>
      </c>
      <c r="M25" s="116" t="s">
        <v>41</v>
      </c>
      <c r="N25" s="116" t="s">
        <v>44</v>
      </c>
      <c r="O25" s="116" t="s">
        <v>49</v>
      </c>
    </row>
    <row r="26" ht="61.05" customHeight="1" spans="1:15">
      <c r="A26" s="111" t="s">
        <v>171</v>
      </c>
      <c r="B26" s="111" t="s">
        <v>37</v>
      </c>
      <c r="C26" s="111" t="s">
        <v>172</v>
      </c>
      <c r="D26" s="111">
        <v>53</v>
      </c>
      <c r="E26" s="111">
        <v>163</v>
      </c>
      <c r="F26" s="112">
        <f t="shared" si="0"/>
        <v>19.9480597689036</v>
      </c>
      <c r="G26" s="114" t="s">
        <v>54</v>
      </c>
      <c r="H26" s="115">
        <f t="shared" si="1"/>
        <v>2</v>
      </c>
      <c r="I26" s="116" t="s">
        <v>86</v>
      </c>
      <c r="J26" s="116" t="s">
        <v>50</v>
      </c>
      <c r="K26" s="116">
        <v>2</v>
      </c>
      <c r="L26" s="116" t="s">
        <v>44</v>
      </c>
      <c r="M26" s="116" t="s">
        <v>58</v>
      </c>
      <c r="N26" s="116" t="s">
        <v>44</v>
      </c>
      <c r="O26" s="116" t="s">
        <v>49</v>
      </c>
    </row>
    <row r="27" ht="31.95" customHeight="1" spans="1:15">
      <c r="A27" s="111" t="s">
        <v>176</v>
      </c>
      <c r="B27" s="111" t="s">
        <v>37</v>
      </c>
      <c r="C27" s="111" t="s">
        <v>177</v>
      </c>
      <c r="D27" s="111">
        <v>54</v>
      </c>
      <c r="E27" s="111">
        <v>161</v>
      </c>
      <c r="F27" s="112">
        <f t="shared" si="0"/>
        <v>20.8325296091972</v>
      </c>
      <c r="G27" s="114" t="s">
        <v>54</v>
      </c>
      <c r="H27" s="115">
        <f t="shared" si="1"/>
        <v>2</v>
      </c>
      <c r="I27" s="116" t="s">
        <v>111</v>
      </c>
      <c r="J27" s="116" t="s">
        <v>50</v>
      </c>
      <c r="K27" s="116">
        <v>2</v>
      </c>
      <c r="L27" s="116" t="s">
        <v>49</v>
      </c>
      <c r="M27" s="116" t="s">
        <v>58</v>
      </c>
      <c r="N27" s="116" t="s">
        <v>44</v>
      </c>
      <c r="O27" s="116" t="s">
        <v>49</v>
      </c>
    </row>
    <row r="28" ht="43.95" customHeight="1" spans="1:15">
      <c r="A28" s="120" t="s">
        <v>183</v>
      </c>
      <c r="B28" s="120" t="s">
        <v>52</v>
      </c>
      <c r="C28" s="116" t="s">
        <v>68</v>
      </c>
      <c r="D28" s="122">
        <v>60</v>
      </c>
      <c r="E28" s="122">
        <v>173</v>
      </c>
      <c r="F28" s="117">
        <f t="shared" si="0"/>
        <v>20.0474456213038</v>
      </c>
      <c r="G28" s="114" t="s">
        <v>54</v>
      </c>
      <c r="H28" s="115">
        <f t="shared" si="1"/>
        <v>2</v>
      </c>
      <c r="I28" s="122" t="s">
        <v>49</v>
      </c>
      <c r="J28" s="116" t="s">
        <v>250</v>
      </c>
      <c r="K28" s="122">
        <v>2</v>
      </c>
      <c r="L28" s="122" t="s">
        <v>58</v>
      </c>
      <c r="M28" s="122" t="s">
        <v>49</v>
      </c>
      <c r="N28" s="122" t="s">
        <v>49</v>
      </c>
      <c r="O28" s="122" t="s">
        <v>49</v>
      </c>
    </row>
    <row r="29" ht="45" customHeight="1" spans="1:15">
      <c r="A29" s="111" t="s">
        <v>184</v>
      </c>
      <c r="B29" s="111" t="s">
        <v>37</v>
      </c>
      <c r="C29" s="111" t="s">
        <v>185</v>
      </c>
      <c r="D29" s="111">
        <v>46</v>
      </c>
      <c r="E29" s="111">
        <v>158</v>
      </c>
      <c r="F29" s="112">
        <f t="shared" si="0"/>
        <v>18.4265342092613</v>
      </c>
      <c r="G29" s="114" t="s">
        <v>54</v>
      </c>
      <c r="H29" s="115">
        <f t="shared" si="1"/>
        <v>2</v>
      </c>
      <c r="I29" s="116" t="s">
        <v>142</v>
      </c>
      <c r="J29" s="116" t="s">
        <v>46</v>
      </c>
      <c r="K29" s="116">
        <v>3</v>
      </c>
      <c r="L29" s="116" t="s">
        <v>44</v>
      </c>
      <c r="M29" s="116" t="s">
        <v>49</v>
      </c>
      <c r="N29" s="116" t="s">
        <v>44</v>
      </c>
      <c r="O29" s="116" t="s">
        <v>49</v>
      </c>
    </row>
    <row r="30" ht="36" customHeight="1" spans="1:15">
      <c r="A30" s="111" t="s">
        <v>189</v>
      </c>
      <c r="B30" s="111" t="s">
        <v>52</v>
      </c>
      <c r="C30" s="111" t="s">
        <v>190</v>
      </c>
      <c r="D30" s="111">
        <v>55</v>
      </c>
      <c r="E30" s="111">
        <v>176</v>
      </c>
      <c r="F30" s="112">
        <f t="shared" si="0"/>
        <v>17.7556818181818</v>
      </c>
      <c r="G30" s="118" t="s">
        <v>84</v>
      </c>
      <c r="H30" s="121">
        <f t="shared" si="1"/>
        <v>1</v>
      </c>
      <c r="I30" s="116" t="s">
        <v>86</v>
      </c>
      <c r="J30" s="116" t="s">
        <v>250</v>
      </c>
      <c r="K30" s="116">
        <v>3</v>
      </c>
      <c r="L30" s="116" t="s">
        <v>49</v>
      </c>
      <c r="M30" s="116" t="s">
        <v>49</v>
      </c>
      <c r="N30" s="116" t="s">
        <v>49</v>
      </c>
      <c r="O30" s="116" t="s">
        <v>49</v>
      </c>
    </row>
    <row r="31" ht="40.95" customHeight="1" spans="1:15">
      <c r="A31" s="111" t="s">
        <v>195</v>
      </c>
      <c r="B31" s="111" t="s">
        <v>52</v>
      </c>
      <c r="C31" s="111" t="s">
        <v>196</v>
      </c>
      <c r="D31" s="111">
        <v>60</v>
      </c>
      <c r="E31" s="111">
        <v>175</v>
      </c>
      <c r="F31" s="112">
        <f t="shared" si="0"/>
        <v>19.5918367346939</v>
      </c>
      <c r="G31" s="114" t="s">
        <v>54</v>
      </c>
      <c r="H31" s="115">
        <f t="shared" si="1"/>
        <v>2</v>
      </c>
      <c r="I31" s="116" t="s">
        <v>41</v>
      </c>
      <c r="J31" s="116" t="s">
        <v>50</v>
      </c>
      <c r="K31" s="116">
        <v>3</v>
      </c>
      <c r="L31" s="116" t="s">
        <v>44</v>
      </c>
      <c r="M31" s="116" t="s">
        <v>49</v>
      </c>
      <c r="N31" s="116" t="s">
        <v>49</v>
      </c>
      <c r="O31" s="116" t="s">
        <v>44</v>
      </c>
    </row>
    <row r="32" ht="42" customHeight="1" spans="1:15">
      <c r="A32" s="111" t="s">
        <v>202</v>
      </c>
      <c r="B32" s="111" t="s">
        <v>37</v>
      </c>
      <c r="C32" s="111" t="s">
        <v>203</v>
      </c>
      <c r="D32" s="111">
        <v>60</v>
      </c>
      <c r="E32" s="111">
        <v>158</v>
      </c>
      <c r="F32" s="112">
        <f t="shared" si="0"/>
        <v>24.034609838167</v>
      </c>
      <c r="G32" s="113" t="s">
        <v>39</v>
      </c>
      <c r="H32" s="113">
        <f t="shared" si="1"/>
        <v>3</v>
      </c>
      <c r="I32" s="116" t="s">
        <v>111</v>
      </c>
      <c r="J32" s="116" t="s">
        <v>250</v>
      </c>
      <c r="K32" s="116">
        <v>3</v>
      </c>
      <c r="L32" s="116" t="s">
        <v>44</v>
      </c>
      <c r="M32" s="116" t="s">
        <v>41</v>
      </c>
      <c r="N32" s="116" t="s">
        <v>44</v>
      </c>
      <c r="O32" s="116" t="s">
        <v>49</v>
      </c>
    </row>
    <row r="33" ht="42" customHeight="1" spans="1:15">
      <c r="A33" s="123" t="s">
        <v>207</v>
      </c>
      <c r="B33" s="111" t="s">
        <v>52</v>
      </c>
      <c r="C33" s="111" t="s">
        <v>196</v>
      </c>
      <c r="D33" s="111">
        <v>60</v>
      </c>
      <c r="E33" s="111">
        <v>175</v>
      </c>
      <c r="F33" s="112">
        <v>19.5918367346939</v>
      </c>
      <c r="G33" s="114" t="s">
        <v>54</v>
      </c>
      <c r="H33" s="115">
        <f t="shared" si="1"/>
        <v>2</v>
      </c>
      <c r="I33" s="116" t="s">
        <v>41</v>
      </c>
      <c r="J33" s="116" t="s">
        <v>50</v>
      </c>
      <c r="K33" s="116">
        <v>3</v>
      </c>
      <c r="L33" s="116" t="s">
        <v>44</v>
      </c>
      <c r="M33" s="116" t="s">
        <v>49</v>
      </c>
      <c r="N33" s="116" t="s">
        <v>49</v>
      </c>
      <c r="O33" s="116" t="s">
        <v>44</v>
      </c>
    </row>
    <row r="34" ht="34.95" customHeight="1" spans="1:15">
      <c r="A34" s="111" t="s">
        <v>208</v>
      </c>
      <c r="B34" s="111" t="s">
        <v>37</v>
      </c>
      <c r="C34" s="111"/>
      <c r="D34" s="111">
        <v>48</v>
      </c>
      <c r="E34" s="111">
        <v>168</v>
      </c>
      <c r="F34" s="112">
        <f t="shared" ref="F34:F42" si="2">(D34/(E34*E34))*10000</f>
        <v>17.0068027210884</v>
      </c>
      <c r="G34" s="118" t="s">
        <v>84</v>
      </c>
      <c r="H34" s="121">
        <f t="shared" si="1"/>
        <v>1</v>
      </c>
      <c r="I34" s="116" t="s">
        <v>49</v>
      </c>
      <c r="J34" s="116" t="s">
        <v>250</v>
      </c>
      <c r="K34" s="116">
        <v>2</v>
      </c>
      <c r="L34" s="116" t="s">
        <v>41</v>
      </c>
      <c r="M34" s="116" t="s">
        <v>58</v>
      </c>
      <c r="N34" s="116" t="s">
        <v>58</v>
      </c>
      <c r="O34" s="116" t="s">
        <v>58</v>
      </c>
    </row>
    <row r="35" ht="39" customHeight="1" spans="1:15">
      <c r="A35" s="111" t="s">
        <v>212</v>
      </c>
      <c r="B35" s="111" t="s">
        <v>37</v>
      </c>
      <c r="C35" s="111">
        <v>12</v>
      </c>
      <c r="D35" s="111">
        <v>56</v>
      </c>
      <c r="E35" s="111">
        <v>154</v>
      </c>
      <c r="F35" s="112">
        <f t="shared" si="2"/>
        <v>23.6127508854782</v>
      </c>
      <c r="G35" s="114" t="s">
        <v>54</v>
      </c>
      <c r="H35" s="115">
        <f t="shared" si="1"/>
        <v>2</v>
      </c>
      <c r="I35" s="116" t="s">
        <v>86</v>
      </c>
      <c r="J35" s="116" t="s">
        <v>250</v>
      </c>
      <c r="K35" s="116">
        <v>2</v>
      </c>
      <c r="L35" s="116" t="s">
        <v>49</v>
      </c>
      <c r="M35" s="116" t="s">
        <v>49</v>
      </c>
      <c r="N35" s="116" t="s">
        <v>49</v>
      </c>
      <c r="O35" s="116" t="s">
        <v>142</v>
      </c>
    </row>
    <row r="36" customHeight="1" spans="1:15">
      <c r="A36" s="111" t="s">
        <v>216</v>
      </c>
      <c r="B36" s="111" t="s">
        <v>37</v>
      </c>
      <c r="C36" s="111" t="s">
        <v>217</v>
      </c>
      <c r="D36" s="111">
        <v>51</v>
      </c>
      <c r="E36" s="111">
        <v>150</v>
      </c>
      <c r="F36" s="112">
        <f t="shared" si="2"/>
        <v>22.6666666666667</v>
      </c>
      <c r="G36" s="114" t="s">
        <v>54</v>
      </c>
      <c r="H36" s="115">
        <f t="shared" si="1"/>
        <v>2</v>
      </c>
      <c r="I36" s="116" t="s">
        <v>49</v>
      </c>
      <c r="J36" s="116" t="s">
        <v>250</v>
      </c>
      <c r="K36" s="116">
        <v>3</v>
      </c>
      <c r="L36" s="116" t="s">
        <v>44</v>
      </c>
      <c r="M36" s="116" t="s">
        <v>44</v>
      </c>
      <c r="N36" s="116" t="s">
        <v>44</v>
      </c>
      <c r="O36" s="116" t="s">
        <v>44</v>
      </c>
    </row>
    <row r="37" customHeight="1" spans="1:15">
      <c r="A37" s="124" t="s">
        <v>221</v>
      </c>
      <c r="B37" s="124" t="s">
        <v>37</v>
      </c>
      <c r="C37" s="111" t="s">
        <v>53</v>
      </c>
      <c r="D37" s="124">
        <v>57</v>
      </c>
      <c r="E37" s="124">
        <v>157</v>
      </c>
      <c r="F37" s="112">
        <f t="shared" si="2"/>
        <v>23.1246703720232</v>
      </c>
      <c r="G37" s="125" t="s">
        <v>54</v>
      </c>
      <c r="H37" s="115">
        <f t="shared" si="1"/>
        <v>2</v>
      </c>
      <c r="I37" s="129" t="s">
        <v>49</v>
      </c>
      <c r="J37" s="116" t="s">
        <v>250</v>
      </c>
      <c r="K37" s="129">
        <v>3</v>
      </c>
      <c r="L37" s="129" t="s">
        <v>49</v>
      </c>
      <c r="M37" s="129" t="s">
        <v>44</v>
      </c>
      <c r="N37" s="129" t="s">
        <v>49</v>
      </c>
      <c r="O37" s="129" t="s">
        <v>49</v>
      </c>
    </row>
    <row r="38" customHeight="1" spans="1:15">
      <c r="A38" s="124" t="s">
        <v>225</v>
      </c>
      <c r="B38" s="111" t="s">
        <v>37</v>
      </c>
      <c r="C38" s="111" t="s">
        <v>226</v>
      </c>
      <c r="D38" s="111">
        <v>37</v>
      </c>
      <c r="E38" s="111">
        <v>160</v>
      </c>
      <c r="F38" s="112">
        <f t="shared" si="2"/>
        <v>14.453125</v>
      </c>
      <c r="G38" s="126" t="s">
        <v>84</v>
      </c>
      <c r="H38" s="121">
        <f t="shared" si="1"/>
        <v>1</v>
      </c>
      <c r="I38" s="129" t="s">
        <v>86</v>
      </c>
      <c r="J38" s="116" t="s">
        <v>250</v>
      </c>
      <c r="K38" s="129">
        <v>2</v>
      </c>
      <c r="L38" s="129" t="s">
        <v>58</v>
      </c>
      <c r="M38" s="129" t="s">
        <v>49</v>
      </c>
      <c r="N38" s="129" t="s">
        <v>49</v>
      </c>
      <c r="O38" s="129" t="s">
        <v>58</v>
      </c>
    </row>
    <row r="39" customHeight="1" spans="1:15">
      <c r="A39" s="124" t="s">
        <v>232</v>
      </c>
      <c r="B39" s="124" t="s">
        <v>37</v>
      </c>
      <c r="C39" s="111" t="s">
        <v>53</v>
      </c>
      <c r="D39" s="124">
        <v>44</v>
      </c>
      <c r="E39" s="124">
        <v>156</v>
      </c>
      <c r="F39" s="112">
        <f t="shared" si="2"/>
        <v>18.0802103879027</v>
      </c>
      <c r="G39" s="126" t="s">
        <v>84</v>
      </c>
      <c r="H39" s="121">
        <f t="shared" si="1"/>
        <v>1</v>
      </c>
      <c r="I39" s="129" t="s">
        <v>111</v>
      </c>
      <c r="J39" s="116" t="s">
        <v>50</v>
      </c>
      <c r="K39" s="129">
        <v>3</v>
      </c>
      <c r="L39" s="129" t="s">
        <v>44</v>
      </c>
      <c r="M39" s="129" t="s">
        <v>49</v>
      </c>
      <c r="N39" s="129" t="s">
        <v>49</v>
      </c>
      <c r="O39" s="129" t="s">
        <v>49</v>
      </c>
    </row>
    <row r="40" customHeight="1" spans="1:15">
      <c r="A40" t="s">
        <v>235</v>
      </c>
      <c r="B40" s="124" t="s">
        <v>37</v>
      </c>
      <c r="C40" s="111" t="s">
        <v>75</v>
      </c>
      <c r="D40" s="124">
        <v>52</v>
      </c>
      <c r="E40" s="124">
        <v>160</v>
      </c>
      <c r="F40" s="117">
        <f t="shared" si="2"/>
        <v>20.3125</v>
      </c>
      <c r="G40" s="125" t="s">
        <v>54</v>
      </c>
      <c r="H40" s="115">
        <f t="shared" si="1"/>
        <v>2</v>
      </c>
      <c r="I40" s="108" t="s">
        <v>86</v>
      </c>
      <c r="J40" s="116" t="s">
        <v>250</v>
      </c>
      <c r="K40" s="108">
        <v>3</v>
      </c>
      <c r="L40" s="108" t="s">
        <v>49</v>
      </c>
      <c r="M40" s="108" t="s">
        <v>44</v>
      </c>
      <c r="N40" s="108" t="s">
        <v>44</v>
      </c>
      <c r="O40" s="108" t="s">
        <v>49</v>
      </c>
    </row>
    <row r="41" customHeight="1" spans="1:15">
      <c r="A41" s="124" t="s">
        <v>236</v>
      </c>
      <c r="B41" s="111" t="s">
        <v>52</v>
      </c>
      <c r="C41" s="111" t="s">
        <v>158</v>
      </c>
      <c r="D41" s="111">
        <v>69</v>
      </c>
      <c r="E41" s="111">
        <v>168</v>
      </c>
      <c r="F41" s="112">
        <f t="shared" si="2"/>
        <v>24.4472789115646</v>
      </c>
      <c r="G41" s="114" t="s">
        <v>54</v>
      </c>
      <c r="H41" s="115">
        <f t="shared" si="1"/>
        <v>2</v>
      </c>
      <c r="I41" s="129" t="s">
        <v>49</v>
      </c>
      <c r="J41" s="116" t="s">
        <v>250</v>
      </c>
      <c r="K41" s="129">
        <v>3</v>
      </c>
      <c r="L41" s="129" t="s">
        <v>49</v>
      </c>
      <c r="M41" s="129" t="s">
        <v>49</v>
      </c>
      <c r="N41" s="129" t="s">
        <v>49</v>
      </c>
      <c r="O41" s="129" t="s">
        <v>44</v>
      </c>
    </row>
    <row r="42" customHeight="1" spans="1:15">
      <c r="A42" s="124" t="s">
        <v>239</v>
      </c>
      <c r="B42" s="111" t="s">
        <v>37</v>
      </c>
      <c r="C42" s="111" t="s">
        <v>172</v>
      </c>
      <c r="D42" s="111">
        <v>49</v>
      </c>
      <c r="E42" s="111">
        <v>147</v>
      </c>
      <c r="F42" s="112">
        <f t="shared" si="2"/>
        <v>22.6757369614512</v>
      </c>
      <c r="G42" s="125" t="s">
        <v>54</v>
      </c>
      <c r="H42" s="115">
        <f t="shared" si="1"/>
        <v>2</v>
      </c>
      <c r="I42" s="129" t="s">
        <v>49</v>
      </c>
      <c r="J42" s="116" t="s">
        <v>50</v>
      </c>
      <c r="K42" s="129">
        <v>2</v>
      </c>
      <c r="L42" s="129" t="s">
        <v>49</v>
      </c>
      <c r="M42" s="129" t="s">
        <v>49</v>
      </c>
      <c r="N42" s="129" t="s">
        <v>44</v>
      </c>
      <c r="O42" s="129" t="s">
        <v>49</v>
      </c>
    </row>
    <row r="43" customHeight="1" spans="1:15">
      <c r="A43" s="124"/>
      <c r="B43" s="124"/>
      <c r="C43" s="124"/>
      <c r="D43" s="124"/>
      <c r="E43" s="124"/>
      <c r="F43" s="124"/>
      <c r="G43" s="124"/>
      <c r="H43" s="124"/>
      <c r="I43" s="129"/>
      <c r="J43" s="129"/>
      <c r="K43" s="129"/>
      <c r="L43" s="129"/>
      <c r="M43" s="129"/>
      <c r="N43" s="129"/>
      <c r="O43" s="129"/>
    </row>
    <row r="47" customHeight="1" spans="5:6">
      <c r="E47" t="s">
        <v>252</v>
      </c>
      <c r="F47" t="s">
        <v>253</v>
      </c>
    </row>
    <row r="48" customHeight="1" spans="5:6">
      <c r="E48" t="s">
        <v>254</v>
      </c>
      <c r="F48" t="s">
        <v>255</v>
      </c>
    </row>
    <row r="49" customHeight="1" spans="1:1">
      <c r="A49" s="110" t="s">
        <v>7</v>
      </c>
    </row>
    <row r="50" customHeight="1" spans="1:2">
      <c r="A50" s="118" t="s">
        <v>84</v>
      </c>
      <c r="B50">
        <v>1</v>
      </c>
    </row>
    <row r="51" customHeight="1" spans="1:2">
      <c r="A51" s="114" t="s">
        <v>54</v>
      </c>
      <c r="B51">
        <v>2</v>
      </c>
    </row>
    <row r="52" customHeight="1" spans="1:2">
      <c r="A52" s="113" t="s">
        <v>39</v>
      </c>
      <c r="B52">
        <v>3</v>
      </c>
    </row>
    <row r="53" customHeight="1" spans="1:2">
      <c r="A53" s="113" t="s">
        <v>63</v>
      </c>
      <c r="B53">
        <v>4</v>
      </c>
    </row>
    <row r="55" customHeight="1" spans="1:1">
      <c r="A55" s="92" t="s">
        <v>12</v>
      </c>
    </row>
    <row r="56" customHeight="1" spans="1:2">
      <c r="A56" s="127" t="s">
        <v>41</v>
      </c>
      <c r="B56">
        <v>1</v>
      </c>
    </row>
    <row r="57" customHeight="1" spans="1:2">
      <c r="A57" s="127" t="s">
        <v>142</v>
      </c>
      <c r="B57">
        <v>2</v>
      </c>
    </row>
    <row r="58" customHeight="1" spans="1:2">
      <c r="A58" s="127" t="s">
        <v>49</v>
      </c>
      <c r="B58">
        <v>3</v>
      </c>
    </row>
    <row r="59" customHeight="1" spans="1:2">
      <c r="A59" s="127" t="s">
        <v>86</v>
      </c>
      <c r="B59">
        <v>4</v>
      </c>
    </row>
    <row r="61" customHeight="1" spans="1:1">
      <c r="A61" s="92" t="s">
        <v>249</v>
      </c>
    </row>
    <row r="62" customHeight="1" spans="1:2">
      <c r="A62" s="127" t="s">
        <v>46</v>
      </c>
      <c r="B62">
        <v>1</v>
      </c>
    </row>
    <row r="63" customHeight="1" spans="1:2">
      <c r="A63" s="127" t="s">
        <v>250</v>
      </c>
      <c r="B63">
        <v>2</v>
      </c>
    </row>
    <row r="64" customHeight="1" spans="1:2">
      <c r="A64" s="127" t="s">
        <v>50</v>
      </c>
      <c r="B64">
        <v>3</v>
      </c>
    </row>
    <row r="65" customHeight="1" spans="1:2">
      <c r="A65" s="130" t="s">
        <v>256</v>
      </c>
      <c r="B65">
        <v>4</v>
      </c>
    </row>
    <row r="67" customHeight="1" spans="1:1">
      <c r="A67" s="92" t="s">
        <v>14</v>
      </c>
    </row>
    <row r="68" customHeight="1" spans="1:2">
      <c r="A68">
        <v>1</v>
      </c>
      <c r="B68">
        <v>1</v>
      </c>
    </row>
    <row r="69" customHeight="1" spans="1:2">
      <c r="A69">
        <v>2</v>
      </c>
      <c r="B69">
        <v>2</v>
      </c>
    </row>
    <row r="70" customHeight="1" spans="1:2">
      <c r="A70">
        <v>3</v>
      </c>
      <c r="B70">
        <v>3</v>
      </c>
    </row>
    <row r="71" customHeight="1" spans="1:2">
      <c r="A71">
        <v>4</v>
      </c>
      <c r="B71">
        <v>4</v>
      </c>
    </row>
    <row r="73" customHeight="1" spans="1:1">
      <c r="A73" s="92" t="s">
        <v>31</v>
      </c>
    </row>
    <row r="74" customHeight="1" spans="1:2">
      <c r="A74" s="127" t="s">
        <v>41</v>
      </c>
      <c r="B74">
        <v>1</v>
      </c>
    </row>
    <row r="75" customHeight="1" spans="1:2">
      <c r="A75" s="127" t="s">
        <v>58</v>
      </c>
      <c r="B75">
        <v>2</v>
      </c>
    </row>
    <row r="76" customHeight="1" spans="1:2">
      <c r="A76" s="127" t="s">
        <v>49</v>
      </c>
      <c r="B76">
        <v>3</v>
      </c>
    </row>
    <row r="77" customHeight="1" spans="1:2">
      <c r="A77" s="127" t="s">
        <v>44</v>
      </c>
      <c r="B77">
        <v>4</v>
      </c>
    </row>
    <row r="79" customHeight="1" spans="1:1">
      <c r="A79" s="92" t="s">
        <v>28</v>
      </c>
    </row>
    <row r="80" customHeight="1" spans="1:2">
      <c r="A80" s="127" t="s">
        <v>41</v>
      </c>
      <c r="B80">
        <v>1</v>
      </c>
    </row>
    <row r="81" customHeight="1" spans="1:2">
      <c r="A81" s="127" t="s">
        <v>58</v>
      </c>
      <c r="B81">
        <v>2</v>
      </c>
    </row>
    <row r="82" customHeight="1" spans="1:2">
      <c r="A82" s="127" t="s">
        <v>49</v>
      </c>
      <c r="B82">
        <v>3</v>
      </c>
    </row>
    <row r="83" customHeight="1" spans="1:2">
      <c r="A83" s="127" t="s">
        <v>44</v>
      </c>
      <c r="B83">
        <v>4</v>
      </c>
    </row>
    <row r="85" customHeight="1" spans="1:1">
      <c r="A85" s="92" t="s">
        <v>34</v>
      </c>
    </row>
    <row r="86" customHeight="1" spans="1:2">
      <c r="A86" s="127" t="s">
        <v>41</v>
      </c>
      <c r="B86">
        <v>1</v>
      </c>
    </row>
    <row r="87" customHeight="1" spans="1:2">
      <c r="A87" s="127" t="s">
        <v>58</v>
      </c>
      <c r="B87">
        <v>2</v>
      </c>
    </row>
    <row r="88" customHeight="1" spans="1:2">
      <c r="A88" s="127" t="s">
        <v>49</v>
      </c>
      <c r="B88">
        <v>3</v>
      </c>
    </row>
    <row r="89" customHeight="1" spans="1:2">
      <c r="A89" s="127" t="s">
        <v>44</v>
      </c>
      <c r="B89">
        <v>4</v>
      </c>
    </row>
    <row r="91" customHeight="1" spans="1:1">
      <c r="A91" s="92" t="s">
        <v>21</v>
      </c>
    </row>
    <row r="92" customHeight="1" spans="1:2">
      <c r="A92" s="127" t="s">
        <v>41</v>
      </c>
      <c r="B92">
        <v>1</v>
      </c>
    </row>
    <row r="93" customHeight="1" spans="1:2">
      <c r="A93" s="127" t="s">
        <v>58</v>
      </c>
      <c r="B93">
        <v>2</v>
      </c>
    </row>
    <row r="94" customHeight="1" spans="1:2">
      <c r="A94" s="127" t="s">
        <v>49</v>
      </c>
      <c r="B94">
        <v>3</v>
      </c>
    </row>
    <row r="95" customHeight="1" spans="1:2">
      <c r="A95" s="127" t="s">
        <v>44</v>
      </c>
      <c r="B95">
        <v>4</v>
      </c>
    </row>
  </sheetData>
  <autoFilter ref="A1:O42">
    <sortState ref="A1:O42">
      <sortCondition ref="A1:A42"/>
    </sortState>
    <extLst/>
  </autoFilter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9" workbookViewId="0">
      <selection activeCell="A33" sqref="A33"/>
    </sheetView>
  </sheetViews>
  <sheetFormatPr defaultColWidth="9" defaultRowHeight="12.75"/>
  <cols>
    <col min="1" max="1" width="32.4380952380952" customWidth="1"/>
    <col min="2" max="2" width="12.3333333333333" customWidth="1"/>
  </cols>
  <sheetData>
    <row r="1" ht="18" customHeight="1" spans="1:10">
      <c r="A1" s="97" t="s">
        <v>0</v>
      </c>
      <c r="B1" s="97" t="s">
        <v>1</v>
      </c>
      <c r="C1" s="97" t="s">
        <v>257</v>
      </c>
      <c r="D1" s="97" t="s">
        <v>258</v>
      </c>
      <c r="E1" s="97" t="s">
        <v>259</v>
      </c>
      <c r="F1" s="97" t="s">
        <v>260</v>
      </c>
      <c r="G1" s="97" t="s">
        <v>261</v>
      </c>
      <c r="H1" s="97" t="s">
        <v>262</v>
      </c>
      <c r="I1" s="97" t="s">
        <v>263</v>
      </c>
      <c r="J1" s="106" t="s">
        <v>264</v>
      </c>
    </row>
    <row r="2" ht="15.6" customHeight="1" spans="1:10">
      <c r="A2" s="98" t="s">
        <v>36</v>
      </c>
      <c r="B2" s="99" t="s">
        <v>265</v>
      </c>
      <c r="C2" s="99">
        <v>19</v>
      </c>
      <c r="D2" s="99" t="s">
        <v>266</v>
      </c>
      <c r="E2" s="99">
        <v>9.5</v>
      </c>
      <c r="F2" s="99">
        <v>33.4</v>
      </c>
      <c r="G2" s="99">
        <v>37</v>
      </c>
      <c r="H2" s="99">
        <v>25</v>
      </c>
      <c r="I2" s="99" t="s">
        <v>267</v>
      </c>
      <c r="J2">
        <v>3</v>
      </c>
    </row>
    <row r="3" ht="15.6" customHeight="1" spans="1:10">
      <c r="A3" s="100" t="s">
        <v>51</v>
      </c>
      <c r="B3" s="101" t="s">
        <v>268</v>
      </c>
      <c r="C3" s="101">
        <v>18</v>
      </c>
      <c r="D3" s="101" t="s">
        <v>269</v>
      </c>
      <c r="E3" s="101">
        <v>6.99</v>
      </c>
      <c r="F3" s="101">
        <v>24.4</v>
      </c>
      <c r="G3" s="101">
        <v>46.82</v>
      </c>
      <c r="H3" s="101">
        <v>-1</v>
      </c>
      <c r="I3" s="101" t="s">
        <v>270</v>
      </c>
      <c r="J3">
        <v>2</v>
      </c>
    </row>
    <row r="4" ht="15.6" customHeight="1" spans="1:10">
      <c r="A4" s="100" t="s">
        <v>61</v>
      </c>
      <c r="B4" s="101" t="s">
        <v>268</v>
      </c>
      <c r="C4" s="101">
        <v>21</v>
      </c>
      <c r="D4" s="101" t="s">
        <v>271</v>
      </c>
      <c r="E4" s="101">
        <v>9.54</v>
      </c>
      <c r="F4" s="101">
        <v>33.41</v>
      </c>
      <c r="G4" s="101">
        <v>45.98</v>
      </c>
      <c r="H4" s="101">
        <v>2</v>
      </c>
      <c r="I4" s="101" t="s">
        <v>270</v>
      </c>
      <c r="J4">
        <v>2</v>
      </c>
    </row>
    <row r="5" ht="15.6" customHeight="1" spans="1:10">
      <c r="A5" s="102" t="s">
        <v>272</v>
      </c>
      <c r="B5" s="101" t="s">
        <v>273</v>
      </c>
      <c r="C5" s="101">
        <v>18</v>
      </c>
      <c r="D5" s="101" t="s">
        <v>274</v>
      </c>
      <c r="E5" s="101">
        <v>3.4</v>
      </c>
      <c r="F5" s="101">
        <v>11.9</v>
      </c>
      <c r="G5" s="101">
        <v>37.295</v>
      </c>
      <c r="H5" s="101">
        <v>-1</v>
      </c>
      <c r="I5" s="101" t="s">
        <v>270</v>
      </c>
      <c r="J5">
        <v>2</v>
      </c>
    </row>
    <row r="6" ht="15.6" customHeight="1" spans="1:10">
      <c r="A6" s="100" t="s">
        <v>275</v>
      </c>
      <c r="B6" s="101" t="s">
        <v>268</v>
      </c>
      <c r="C6" s="101">
        <v>19</v>
      </c>
      <c r="D6" s="101" t="s">
        <v>266</v>
      </c>
      <c r="E6" s="101">
        <v>9.54</v>
      </c>
      <c r="F6" s="101">
        <v>33.41</v>
      </c>
      <c r="G6" s="101">
        <v>46.54</v>
      </c>
      <c r="H6" s="101">
        <v>2</v>
      </c>
      <c r="I6" s="101" t="s">
        <v>270</v>
      </c>
      <c r="J6">
        <v>2</v>
      </c>
    </row>
    <row r="7" ht="15.6" customHeight="1" spans="1:10">
      <c r="A7" s="100" t="s">
        <v>251</v>
      </c>
      <c r="B7" s="101" t="s">
        <v>273</v>
      </c>
      <c r="C7" s="101">
        <v>19</v>
      </c>
      <c r="D7" s="101" t="s">
        <v>276</v>
      </c>
      <c r="E7" s="101">
        <v>3.16</v>
      </c>
      <c r="F7" s="101">
        <v>11.06</v>
      </c>
      <c r="G7" s="101">
        <v>37.06</v>
      </c>
      <c r="H7" s="101">
        <v>-1</v>
      </c>
      <c r="I7" s="101" t="s">
        <v>270</v>
      </c>
      <c r="J7">
        <v>2</v>
      </c>
    </row>
    <row r="8" ht="15.6" customHeight="1" spans="1:10">
      <c r="A8" s="103" t="s">
        <v>83</v>
      </c>
      <c r="B8" s="99" t="s">
        <v>265</v>
      </c>
      <c r="C8" s="99">
        <v>20</v>
      </c>
      <c r="D8" s="99" t="s">
        <v>277</v>
      </c>
      <c r="E8" s="99">
        <v>6.9</v>
      </c>
      <c r="F8" s="99">
        <v>24.4</v>
      </c>
      <c r="G8" s="99">
        <v>36.8</v>
      </c>
      <c r="H8" s="99">
        <v>1</v>
      </c>
      <c r="I8" s="99" t="s">
        <v>270</v>
      </c>
      <c r="J8">
        <v>2</v>
      </c>
    </row>
    <row r="9" ht="15.6" customHeight="1" spans="1:10">
      <c r="A9" s="103" t="s">
        <v>90</v>
      </c>
      <c r="B9" s="99" t="s">
        <v>265</v>
      </c>
      <c r="C9" s="99">
        <v>21</v>
      </c>
      <c r="D9" s="99" t="s">
        <v>278</v>
      </c>
      <c r="E9" s="99">
        <v>4.4</v>
      </c>
      <c r="F9" s="99">
        <v>15.5</v>
      </c>
      <c r="G9" s="99">
        <v>36.6</v>
      </c>
      <c r="H9" s="99">
        <v>-1</v>
      </c>
      <c r="I9" s="99" t="s">
        <v>270</v>
      </c>
      <c r="J9">
        <v>2</v>
      </c>
    </row>
    <row r="10" ht="15.6" customHeight="1" spans="1:10">
      <c r="A10" s="100" t="s">
        <v>95</v>
      </c>
      <c r="B10" s="101" t="s">
        <v>273</v>
      </c>
      <c r="C10" s="101">
        <v>20</v>
      </c>
      <c r="D10" s="101" t="s">
        <v>279</v>
      </c>
      <c r="E10" s="101">
        <v>9.5</v>
      </c>
      <c r="F10" s="101">
        <v>33.4</v>
      </c>
      <c r="G10" s="101">
        <v>36.8</v>
      </c>
      <c r="H10" s="101">
        <v>27</v>
      </c>
      <c r="I10" s="101" t="s">
        <v>280</v>
      </c>
      <c r="J10">
        <v>3</v>
      </c>
    </row>
    <row r="11" ht="15.6" customHeight="1" spans="1:10">
      <c r="A11" s="100" t="s">
        <v>100</v>
      </c>
      <c r="B11" s="101" t="s">
        <v>268</v>
      </c>
      <c r="C11" s="101">
        <v>22</v>
      </c>
      <c r="D11" s="101" t="s">
        <v>281</v>
      </c>
      <c r="E11" s="101">
        <v>6.3</v>
      </c>
      <c r="F11" s="101">
        <v>22.23</v>
      </c>
      <c r="G11" s="101">
        <v>45.7</v>
      </c>
      <c r="H11" s="101">
        <v>-1</v>
      </c>
      <c r="I11" s="101" t="s">
        <v>270</v>
      </c>
      <c r="J11">
        <v>2</v>
      </c>
    </row>
    <row r="12" ht="15.6" customHeight="1" spans="1:10">
      <c r="A12" s="103" t="s">
        <v>103</v>
      </c>
      <c r="B12" s="99" t="s">
        <v>265</v>
      </c>
      <c r="C12" s="99">
        <v>20</v>
      </c>
      <c r="D12" s="99" t="s">
        <v>282</v>
      </c>
      <c r="E12" s="99">
        <v>8.9</v>
      </c>
      <c r="F12" s="99">
        <v>31.18</v>
      </c>
      <c r="G12" s="99">
        <v>36.6</v>
      </c>
      <c r="H12" s="99">
        <v>16</v>
      </c>
      <c r="I12" s="99" t="s">
        <v>267</v>
      </c>
      <c r="J12">
        <v>3</v>
      </c>
    </row>
    <row r="13" ht="15.6" customHeight="1" spans="1:10">
      <c r="A13" s="100" t="s">
        <v>108</v>
      </c>
      <c r="B13" s="101" t="s">
        <v>273</v>
      </c>
      <c r="C13" s="101">
        <v>19</v>
      </c>
      <c r="D13" s="101" t="s">
        <v>283</v>
      </c>
      <c r="E13" s="101">
        <v>5.71</v>
      </c>
      <c r="F13" s="101">
        <v>20</v>
      </c>
      <c r="G13" s="101">
        <v>37</v>
      </c>
      <c r="H13" s="101">
        <v>0</v>
      </c>
      <c r="I13" s="101" t="s">
        <v>270</v>
      </c>
      <c r="J13">
        <v>2</v>
      </c>
    </row>
    <row r="14" ht="15.6" customHeight="1" spans="1:10">
      <c r="A14" s="104" t="s">
        <v>115</v>
      </c>
      <c r="B14" s="101" t="s">
        <v>268</v>
      </c>
      <c r="C14" s="101">
        <v>22</v>
      </c>
      <c r="D14" s="101" t="s">
        <v>284</v>
      </c>
      <c r="E14" s="101">
        <v>4.4</v>
      </c>
      <c r="F14" s="101">
        <v>15.5</v>
      </c>
      <c r="G14" s="101">
        <v>45.7</v>
      </c>
      <c r="H14" s="101">
        <v>-1</v>
      </c>
      <c r="I14" s="101" t="s">
        <v>270</v>
      </c>
      <c r="J14">
        <v>2</v>
      </c>
    </row>
    <row r="15" ht="15.6" customHeight="1" spans="1:10">
      <c r="A15" s="104" t="s">
        <v>121</v>
      </c>
      <c r="B15" s="101" t="s">
        <v>273</v>
      </c>
      <c r="C15" s="101">
        <v>17</v>
      </c>
      <c r="D15" s="101" t="s">
        <v>266</v>
      </c>
      <c r="E15" s="101">
        <v>9.5</v>
      </c>
      <c r="F15" s="101">
        <v>33.4</v>
      </c>
      <c r="G15" s="101">
        <v>37.525</v>
      </c>
      <c r="H15" s="101">
        <v>23</v>
      </c>
      <c r="I15" s="101" t="s">
        <v>280</v>
      </c>
      <c r="J15">
        <v>3</v>
      </c>
    </row>
    <row r="16" ht="15.6" customHeight="1" spans="1:10">
      <c r="A16" s="104" t="s">
        <v>127</v>
      </c>
      <c r="B16" s="101" t="s">
        <v>268</v>
      </c>
      <c r="C16" s="101">
        <v>21</v>
      </c>
      <c r="D16" s="101" t="s">
        <v>281</v>
      </c>
      <c r="E16" s="101">
        <v>6.35</v>
      </c>
      <c r="F16" s="101">
        <v>22.2</v>
      </c>
      <c r="G16" s="101">
        <v>45.98</v>
      </c>
      <c r="H16" s="101">
        <v>-1</v>
      </c>
      <c r="I16" s="101" t="s">
        <v>270</v>
      </c>
      <c r="J16">
        <v>2</v>
      </c>
    </row>
    <row r="17" ht="15.6" customHeight="1" spans="1:10">
      <c r="A17" s="104" t="s">
        <v>133</v>
      </c>
      <c r="B17" s="101" t="s">
        <v>273</v>
      </c>
      <c r="C17" s="101">
        <v>18</v>
      </c>
      <c r="D17" s="101" t="s">
        <v>284</v>
      </c>
      <c r="E17" s="101">
        <v>4.43</v>
      </c>
      <c r="F17" s="101">
        <v>15.5</v>
      </c>
      <c r="G17" s="101">
        <v>37.29</v>
      </c>
      <c r="H17" s="101">
        <v>-1</v>
      </c>
      <c r="I17" s="101" t="s">
        <v>270</v>
      </c>
      <c r="J17">
        <v>2</v>
      </c>
    </row>
    <row r="18" ht="15.6" customHeight="1" spans="1:10">
      <c r="A18" s="104" t="s">
        <v>138</v>
      </c>
      <c r="B18" s="101" t="s">
        <v>268</v>
      </c>
      <c r="C18" s="101">
        <v>19</v>
      </c>
      <c r="D18" s="101" t="s">
        <v>285</v>
      </c>
      <c r="E18" s="101">
        <v>4.7</v>
      </c>
      <c r="F18" s="101">
        <v>16.65</v>
      </c>
      <c r="G18" s="101">
        <v>46.54</v>
      </c>
      <c r="H18" s="101">
        <v>-1</v>
      </c>
      <c r="I18" s="101" t="s">
        <v>270</v>
      </c>
      <c r="J18">
        <v>2</v>
      </c>
    </row>
    <row r="19" ht="15.6" customHeight="1" spans="1:13">
      <c r="A19" s="104" t="s">
        <v>140</v>
      </c>
      <c r="B19" s="101" t="s">
        <v>273</v>
      </c>
      <c r="C19" s="101">
        <v>18</v>
      </c>
      <c r="D19" s="101" t="s">
        <v>286</v>
      </c>
      <c r="E19" s="101">
        <v>5.2</v>
      </c>
      <c r="F19" s="101">
        <v>18.4</v>
      </c>
      <c r="G19" s="101">
        <v>37.295</v>
      </c>
      <c r="H19" s="101">
        <v>0</v>
      </c>
      <c r="I19" s="101" t="s">
        <v>270</v>
      </c>
      <c r="J19">
        <v>2</v>
      </c>
      <c r="M19">
        <f>AVERAGE(F5:F42)</f>
        <v>24.4335135135135</v>
      </c>
    </row>
    <row r="20" ht="15.6" customHeight="1" spans="1:10">
      <c r="A20" s="104" t="s">
        <v>146</v>
      </c>
      <c r="B20" s="101" t="s">
        <v>268</v>
      </c>
      <c r="C20" s="101">
        <v>19</v>
      </c>
      <c r="D20" s="101" t="s">
        <v>287</v>
      </c>
      <c r="E20" s="101">
        <v>5.7</v>
      </c>
      <c r="F20" s="101">
        <v>20</v>
      </c>
      <c r="G20" s="101">
        <v>46.54</v>
      </c>
      <c r="H20" s="101">
        <v>-1</v>
      </c>
      <c r="I20" s="101" t="s">
        <v>270</v>
      </c>
      <c r="J20">
        <v>2</v>
      </c>
    </row>
    <row r="21" ht="15.6" customHeight="1" spans="1:10">
      <c r="A21" s="105" t="s">
        <v>152</v>
      </c>
      <c r="B21" s="99" t="s">
        <v>265</v>
      </c>
      <c r="C21" s="99">
        <v>19</v>
      </c>
      <c r="D21" s="99" t="s">
        <v>288</v>
      </c>
      <c r="E21" s="99">
        <v>7.6</v>
      </c>
      <c r="F21" s="99">
        <v>26.7</v>
      </c>
      <c r="G21" s="99">
        <v>37</v>
      </c>
      <c r="H21" s="99">
        <v>3</v>
      </c>
      <c r="I21" s="99" t="s">
        <v>270</v>
      </c>
      <c r="J21">
        <v>2</v>
      </c>
    </row>
    <row r="22" ht="15.6" customHeight="1" spans="1:10">
      <c r="A22" s="104" t="s">
        <v>157</v>
      </c>
      <c r="B22" s="101" t="s">
        <v>268</v>
      </c>
      <c r="C22" s="101">
        <v>20</v>
      </c>
      <c r="D22" s="101" t="s">
        <v>289</v>
      </c>
      <c r="E22" s="101">
        <v>7.6</v>
      </c>
      <c r="F22" s="101">
        <v>26.7</v>
      </c>
      <c r="G22" s="101">
        <v>46.26</v>
      </c>
      <c r="H22" s="101">
        <v>0</v>
      </c>
      <c r="I22" s="101" t="s">
        <v>270</v>
      </c>
      <c r="J22">
        <v>2</v>
      </c>
    </row>
    <row r="23" ht="15.6" customHeight="1" spans="1:10">
      <c r="A23" s="104" t="s">
        <v>290</v>
      </c>
      <c r="B23" s="101" t="s">
        <v>273</v>
      </c>
      <c r="C23" s="101">
        <v>20</v>
      </c>
      <c r="D23" s="101" t="s">
        <v>266</v>
      </c>
      <c r="E23" s="101">
        <v>9.54</v>
      </c>
      <c r="F23" s="101">
        <v>33.41</v>
      </c>
      <c r="G23" s="101">
        <v>36.83</v>
      </c>
      <c r="H23" s="101">
        <v>27</v>
      </c>
      <c r="I23" s="101" t="s">
        <v>280</v>
      </c>
      <c r="J23">
        <v>3</v>
      </c>
    </row>
    <row r="24" ht="15.6" customHeight="1" spans="1:10">
      <c r="A24" s="104" t="s">
        <v>163</v>
      </c>
      <c r="B24" s="101" t="s">
        <v>273</v>
      </c>
      <c r="C24" s="101">
        <v>21</v>
      </c>
      <c r="D24" s="101" t="s">
        <v>291</v>
      </c>
      <c r="E24" s="101">
        <v>5.07</v>
      </c>
      <c r="F24" s="101">
        <v>17.76</v>
      </c>
      <c r="G24" s="101">
        <v>36.6</v>
      </c>
      <c r="H24" s="101">
        <v>0</v>
      </c>
      <c r="I24" s="101" t="s">
        <v>270</v>
      </c>
      <c r="J24">
        <v>2</v>
      </c>
    </row>
    <row r="25" ht="15.6" customHeight="1" spans="1:10">
      <c r="A25" s="104" t="s">
        <v>169</v>
      </c>
      <c r="B25" s="101" t="s">
        <v>273</v>
      </c>
      <c r="C25" s="101">
        <v>21</v>
      </c>
      <c r="D25" s="101" t="s">
        <v>292</v>
      </c>
      <c r="E25" s="101">
        <v>6.3</v>
      </c>
      <c r="F25" s="101">
        <v>22.23</v>
      </c>
      <c r="G25" s="101">
        <v>36.6</v>
      </c>
      <c r="H25" s="101">
        <v>0</v>
      </c>
      <c r="I25" s="101" t="s">
        <v>270</v>
      </c>
      <c r="J25">
        <v>2</v>
      </c>
    </row>
    <row r="26" ht="15.6" customHeight="1" spans="1:10">
      <c r="A26" s="104" t="s">
        <v>171</v>
      </c>
      <c r="B26" s="101" t="s">
        <v>273</v>
      </c>
      <c r="C26" s="101">
        <v>18</v>
      </c>
      <c r="D26" s="101" t="s">
        <v>293</v>
      </c>
      <c r="E26" s="101">
        <v>4.82</v>
      </c>
      <c r="F26" s="101">
        <v>16.8</v>
      </c>
      <c r="G26" s="101">
        <v>37.2</v>
      </c>
      <c r="H26" s="101">
        <v>0</v>
      </c>
      <c r="I26" s="101" t="s">
        <v>270</v>
      </c>
      <c r="J26">
        <v>2</v>
      </c>
    </row>
    <row r="27" ht="15.6" customHeight="1" spans="1:10">
      <c r="A27" s="104" t="s">
        <v>176</v>
      </c>
      <c r="B27" s="101" t="s">
        <v>273</v>
      </c>
      <c r="C27" s="101">
        <v>19</v>
      </c>
      <c r="D27" s="101" t="s">
        <v>294</v>
      </c>
      <c r="E27" s="101">
        <v>5.65</v>
      </c>
      <c r="F27" s="101">
        <v>19.7</v>
      </c>
      <c r="G27" s="101">
        <v>37.06</v>
      </c>
      <c r="H27" s="101">
        <v>0</v>
      </c>
      <c r="I27" s="101" t="s">
        <v>270</v>
      </c>
      <c r="J27">
        <v>2</v>
      </c>
    </row>
    <row r="28" ht="15.6" customHeight="1" spans="1:10">
      <c r="A28" s="104" t="s">
        <v>295</v>
      </c>
      <c r="B28" s="101" t="s">
        <v>268</v>
      </c>
      <c r="C28" s="101">
        <v>19</v>
      </c>
      <c r="D28" s="101" t="s">
        <v>296</v>
      </c>
      <c r="E28" s="101">
        <v>8.9</v>
      </c>
      <c r="F28" s="101">
        <v>31.18</v>
      </c>
      <c r="G28" s="101">
        <v>46.54</v>
      </c>
      <c r="H28" s="101">
        <v>1</v>
      </c>
      <c r="I28" s="101" t="s">
        <v>270</v>
      </c>
      <c r="J28">
        <v>2</v>
      </c>
    </row>
    <row r="29" ht="15.6" customHeight="1" spans="1:10">
      <c r="A29" s="104" t="s">
        <v>297</v>
      </c>
      <c r="B29" s="101" t="s">
        <v>265</v>
      </c>
      <c r="C29" s="101">
        <v>18</v>
      </c>
      <c r="D29" s="101" t="s">
        <v>298</v>
      </c>
      <c r="E29" s="101">
        <v>3.7</v>
      </c>
      <c r="F29" s="101">
        <v>13.2</v>
      </c>
      <c r="G29" s="101">
        <v>37.295</v>
      </c>
      <c r="H29" s="101">
        <v>-1</v>
      </c>
      <c r="I29" s="101" t="s">
        <v>270</v>
      </c>
      <c r="J29">
        <v>2</v>
      </c>
    </row>
    <row r="30" ht="15.6" customHeight="1" spans="1:10">
      <c r="A30" s="104" t="s">
        <v>189</v>
      </c>
      <c r="B30" s="101" t="s">
        <v>268</v>
      </c>
      <c r="C30" s="101">
        <v>21</v>
      </c>
      <c r="D30" s="101" t="s">
        <v>266</v>
      </c>
      <c r="E30" s="101">
        <v>9.5</v>
      </c>
      <c r="F30" s="101">
        <v>33.4</v>
      </c>
      <c r="G30" s="101">
        <v>45.98</v>
      </c>
      <c r="H30" s="101">
        <v>2</v>
      </c>
      <c r="I30" s="101" t="s">
        <v>270</v>
      </c>
      <c r="J30">
        <v>2</v>
      </c>
    </row>
    <row r="31" ht="15.6" customHeight="1" spans="1:10">
      <c r="A31" s="105" t="s">
        <v>195</v>
      </c>
      <c r="B31" s="99" t="s">
        <v>268</v>
      </c>
      <c r="C31" s="99">
        <v>21</v>
      </c>
      <c r="D31" s="99" t="s">
        <v>299</v>
      </c>
      <c r="E31" s="99" t="s">
        <v>300</v>
      </c>
      <c r="F31" s="99" t="s">
        <v>301</v>
      </c>
      <c r="G31" s="99">
        <v>45.9</v>
      </c>
      <c r="H31" s="99">
        <v>16</v>
      </c>
      <c r="I31" s="99" t="s">
        <v>267</v>
      </c>
      <c r="J31">
        <v>3</v>
      </c>
    </row>
    <row r="32" ht="15.6" customHeight="1" spans="1:10">
      <c r="A32" s="104" t="s">
        <v>202</v>
      </c>
      <c r="B32" s="101" t="s">
        <v>273</v>
      </c>
      <c r="C32" s="101">
        <v>20</v>
      </c>
      <c r="D32" s="101">
        <v>1</v>
      </c>
      <c r="E32" s="101">
        <v>3.16</v>
      </c>
      <c r="F32" s="101">
        <v>11.06</v>
      </c>
      <c r="G32" s="101">
        <v>36.835</v>
      </c>
      <c r="H32" s="101">
        <v>-1</v>
      </c>
      <c r="I32" s="101" t="s">
        <v>270</v>
      </c>
      <c r="J32">
        <v>2</v>
      </c>
    </row>
    <row r="33" ht="15.6" customHeight="1" spans="1:10">
      <c r="A33" s="99" t="s">
        <v>207</v>
      </c>
      <c r="B33" s="101" t="s">
        <v>268</v>
      </c>
      <c r="C33" s="101">
        <v>20</v>
      </c>
      <c r="D33" s="101" t="s">
        <v>302</v>
      </c>
      <c r="E33" s="101">
        <v>19.1</v>
      </c>
      <c r="F33" s="101">
        <v>66.94</v>
      </c>
      <c r="G33" s="101">
        <v>64.26</v>
      </c>
      <c r="H33" s="101">
        <v>100</v>
      </c>
      <c r="I33" s="101" t="s">
        <v>303</v>
      </c>
      <c r="J33">
        <v>4</v>
      </c>
    </row>
    <row r="34" ht="15.6" customHeight="1" spans="1:10">
      <c r="A34" s="104" t="s">
        <v>208</v>
      </c>
      <c r="B34" s="101" t="s">
        <v>273</v>
      </c>
      <c r="C34" s="101">
        <v>23</v>
      </c>
      <c r="D34" s="101" t="s">
        <v>281</v>
      </c>
      <c r="E34" s="101">
        <v>6.35</v>
      </c>
      <c r="F34" s="101">
        <v>22.23</v>
      </c>
      <c r="G34" s="101">
        <v>36.14</v>
      </c>
      <c r="H34" s="101">
        <v>1</v>
      </c>
      <c r="I34" s="101" t="s">
        <v>270</v>
      </c>
      <c r="J34">
        <v>2</v>
      </c>
    </row>
    <row r="35" ht="15.6" customHeight="1" spans="1:10">
      <c r="A35" s="104" t="s">
        <v>304</v>
      </c>
      <c r="B35" s="101" t="s">
        <v>273</v>
      </c>
      <c r="C35" s="101">
        <v>19</v>
      </c>
      <c r="D35" s="101" t="s">
        <v>305</v>
      </c>
      <c r="E35" s="101">
        <v>6.35</v>
      </c>
      <c r="F35" s="101">
        <v>22.23</v>
      </c>
      <c r="G35" s="101">
        <v>37.06</v>
      </c>
      <c r="H35" s="101">
        <v>0</v>
      </c>
      <c r="I35" s="101" t="s">
        <v>270</v>
      </c>
      <c r="J35">
        <v>2</v>
      </c>
    </row>
    <row r="36" ht="15.6" customHeight="1" spans="1:10">
      <c r="A36" s="104" t="s">
        <v>216</v>
      </c>
      <c r="B36" s="101" t="s">
        <v>273</v>
      </c>
      <c r="C36" s="101">
        <v>19</v>
      </c>
      <c r="D36" s="101" t="s">
        <v>281</v>
      </c>
      <c r="E36" s="101">
        <v>6.35</v>
      </c>
      <c r="F36" s="101">
        <v>22.23</v>
      </c>
      <c r="G36" s="101">
        <v>37.06</v>
      </c>
      <c r="H36" s="101">
        <v>0</v>
      </c>
      <c r="I36" s="101" t="s">
        <v>270</v>
      </c>
      <c r="J36">
        <v>2</v>
      </c>
    </row>
    <row r="37" ht="15.6" customHeight="1" spans="1:10">
      <c r="A37" s="104" t="s">
        <v>221</v>
      </c>
      <c r="B37" s="101" t="s">
        <v>273</v>
      </c>
      <c r="C37" s="101">
        <v>20</v>
      </c>
      <c r="D37" s="101" t="s">
        <v>306</v>
      </c>
      <c r="E37" s="101">
        <v>7.6</v>
      </c>
      <c r="F37" s="101">
        <v>26.7</v>
      </c>
      <c r="G37" s="101">
        <v>36.8</v>
      </c>
      <c r="H37" s="101">
        <v>3</v>
      </c>
      <c r="I37" s="101" t="s">
        <v>270</v>
      </c>
      <c r="J37">
        <v>2</v>
      </c>
    </row>
    <row r="38" ht="15.6" customHeight="1" spans="1:10">
      <c r="A38" s="105" t="s">
        <v>225</v>
      </c>
      <c r="B38" s="99" t="s">
        <v>265</v>
      </c>
      <c r="C38" s="99">
        <v>21</v>
      </c>
      <c r="D38" s="99" t="s">
        <v>266</v>
      </c>
      <c r="E38" s="99">
        <v>9.5</v>
      </c>
      <c r="F38" s="99">
        <v>33.4</v>
      </c>
      <c r="G38" s="99">
        <v>36.6</v>
      </c>
      <c r="H38" s="99">
        <v>28</v>
      </c>
      <c r="I38" s="99" t="s">
        <v>267</v>
      </c>
      <c r="J38">
        <v>3</v>
      </c>
    </row>
    <row r="39" ht="15.6" customHeight="1" spans="1:10">
      <c r="A39" s="104" t="s">
        <v>232</v>
      </c>
      <c r="B39" s="101" t="s">
        <v>273</v>
      </c>
      <c r="C39" s="101">
        <v>19</v>
      </c>
      <c r="D39" s="101" t="s">
        <v>281</v>
      </c>
      <c r="E39" s="101">
        <v>6.3</v>
      </c>
      <c r="F39" s="101">
        <v>22.23</v>
      </c>
      <c r="G39" s="101">
        <v>37.06</v>
      </c>
      <c r="H39" s="101">
        <v>0</v>
      </c>
      <c r="I39" s="101" t="s">
        <v>270</v>
      </c>
      <c r="J39">
        <v>2</v>
      </c>
    </row>
    <row r="40" ht="15.6" customHeight="1" spans="1:10">
      <c r="A40" s="104" t="s">
        <v>307</v>
      </c>
      <c r="B40" s="101" t="s">
        <v>273</v>
      </c>
      <c r="C40" s="101">
        <v>20</v>
      </c>
      <c r="D40" s="101" t="s">
        <v>266</v>
      </c>
      <c r="E40" s="101">
        <v>9.54</v>
      </c>
      <c r="F40" s="101">
        <v>33.41</v>
      </c>
      <c r="G40" s="101">
        <v>36.83</v>
      </c>
      <c r="H40" s="101">
        <v>27</v>
      </c>
      <c r="I40" s="101" t="s">
        <v>280</v>
      </c>
      <c r="J40">
        <v>3</v>
      </c>
    </row>
    <row r="41" ht="15.6" customHeight="1" spans="1:10">
      <c r="A41" s="105" t="s">
        <v>236</v>
      </c>
      <c r="B41" s="99" t="s">
        <v>268</v>
      </c>
      <c r="C41" s="99">
        <v>22</v>
      </c>
      <c r="D41" s="99" t="s">
        <v>266</v>
      </c>
      <c r="E41" s="99">
        <v>9.5</v>
      </c>
      <c r="F41" s="99">
        <v>33.4</v>
      </c>
      <c r="G41" s="99" t="s">
        <v>308</v>
      </c>
      <c r="H41" s="99">
        <v>2</v>
      </c>
      <c r="I41" s="99" t="s">
        <v>270</v>
      </c>
      <c r="J41">
        <v>2</v>
      </c>
    </row>
    <row r="42" ht="15.6" customHeight="1" spans="1:10">
      <c r="A42" s="105" t="s">
        <v>239</v>
      </c>
      <c r="B42" s="99" t="s">
        <v>265</v>
      </c>
      <c r="C42" s="99">
        <v>20</v>
      </c>
      <c r="D42" s="99" t="s">
        <v>277</v>
      </c>
      <c r="E42" s="99">
        <v>6.9</v>
      </c>
      <c r="F42" s="99">
        <v>24.4</v>
      </c>
      <c r="G42" s="99">
        <v>36.8</v>
      </c>
      <c r="H42" s="99">
        <v>1</v>
      </c>
      <c r="I42" s="99" t="s">
        <v>270</v>
      </c>
      <c r="J42">
        <v>2</v>
      </c>
    </row>
    <row r="45" spans="2:3">
      <c r="B45" s="1" t="s">
        <v>309</v>
      </c>
      <c r="C45">
        <v>1</v>
      </c>
    </row>
    <row r="46" spans="2:3">
      <c r="B46" s="1" t="s">
        <v>270</v>
      </c>
      <c r="C46">
        <v>2</v>
      </c>
    </row>
    <row r="47" spans="2:3">
      <c r="B47" s="1" t="s">
        <v>267</v>
      </c>
      <c r="C47">
        <v>3</v>
      </c>
    </row>
    <row r="48" spans="2:3">
      <c r="B48" s="104" t="s">
        <v>303</v>
      </c>
      <c r="C48">
        <v>4</v>
      </c>
    </row>
  </sheetData>
  <autoFilter ref="A1:J42">
    <extLst/>
  </autoFilter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opLeftCell="B1" workbookViewId="0">
      <selection activeCell="L7" sqref="L7"/>
    </sheetView>
  </sheetViews>
  <sheetFormatPr defaultColWidth="9" defaultRowHeight="12.75"/>
  <cols>
    <col min="1" max="1" width="6.21904761904762" style="88" customWidth="1"/>
    <col min="2" max="2" width="37.1047619047619" customWidth="1"/>
    <col min="3" max="3" width="17.552380952381" customWidth="1"/>
    <col min="4" max="4" width="17" customWidth="1"/>
    <col min="5" max="5" width="8.78095238095238" customWidth="1"/>
    <col min="6" max="10" width="15.7809523809524" customWidth="1"/>
  </cols>
  <sheetData>
    <row r="1" ht="30.6" customHeight="1" spans="1:13">
      <c r="A1" s="89" t="s">
        <v>310</v>
      </c>
      <c r="B1" s="90" t="s">
        <v>0</v>
      </c>
      <c r="C1" s="90" t="s">
        <v>1</v>
      </c>
      <c r="D1" s="90" t="s">
        <v>2</v>
      </c>
      <c r="E1" s="91" t="s">
        <v>7</v>
      </c>
      <c r="F1" s="92" t="s">
        <v>12</v>
      </c>
      <c r="G1" s="92" t="s">
        <v>31</v>
      </c>
      <c r="H1" s="92" t="s">
        <v>28</v>
      </c>
      <c r="I1" s="92" t="s">
        <v>34</v>
      </c>
      <c r="J1" s="92" t="s">
        <v>21</v>
      </c>
      <c r="K1" s="94" t="s">
        <v>311</v>
      </c>
      <c r="M1" s="95"/>
    </row>
    <row r="2" spans="1:12">
      <c r="A2" s="88">
        <v>1</v>
      </c>
      <c r="B2" t="s">
        <v>36</v>
      </c>
      <c r="C2" t="s">
        <v>37</v>
      </c>
      <c r="D2">
        <v>18</v>
      </c>
      <c r="E2" s="93">
        <v>27.5482093663912</v>
      </c>
      <c r="F2">
        <v>1000</v>
      </c>
      <c r="G2" s="93">
        <v>362.8</v>
      </c>
      <c r="H2" s="93">
        <v>99</v>
      </c>
      <c r="I2" s="93">
        <v>94.42</v>
      </c>
      <c r="J2" s="96">
        <v>3379</v>
      </c>
      <c r="K2">
        <v>3</v>
      </c>
      <c r="L2" s="93">
        <v>33.4</v>
      </c>
    </row>
    <row r="3" spans="1:12">
      <c r="A3" s="88">
        <v>2</v>
      </c>
      <c r="B3" t="s">
        <v>51</v>
      </c>
      <c r="C3" t="s">
        <v>52</v>
      </c>
      <c r="D3">
        <v>18</v>
      </c>
      <c r="E3" s="93">
        <v>21.8870763653774</v>
      </c>
      <c r="F3">
        <v>2000</v>
      </c>
      <c r="G3" s="93">
        <v>180.7</v>
      </c>
      <c r="H3" s="93">
        <v>27.4</v>
      </c>
      <c r="I3" s="93">
        <v>71</v>
      </c>
      <c r="J3" s="96">
        <v>956</v>
      </c>
      <c r="K3">
        <v>2</v>
      </c>
      <c r="L3" s="93">
        <v>24.4</v>
      </c>
    </row>
    <row r="4" spans="1:12">
      <c r="A4" s="88">
        <v>3</v>
      </c>
      <c r="B4" t="s">
        <v>61</v>
      </c>
      <c r="C4" t="s">
        <v>52</v>
      </c>
      <c r="D4">
        <v>21</v>
      </c>
      <c r="E4" s="93">
        <v>31.5720714182029</v>
      </c>
      <c r="F4">
        <v>3000</v>
      </c>
      <c r="G4" s="93">
        <v>170.4</v>
      </c>
      <c r="H4" s="93">
        <v>60.2</v>
      </c>
      <c r="I4" s="93">
        <v>57.08</v>
      </c>
      <c r="J4" s="96">
        <v>2091</v>
      </c>
      <c r="K4">
        <v>2</v>
      </c>
      <c r="L4" s="93">
        <v>33.41</v>
      </c>
    </row>
    <row r="5" spans="1:12">
      <c r="A5" s="88">
        <v>4</v>
      </c>
      <c r="B5" t="s">
        <v>67</v>
      </c>
      <c r="C5" t="s">
        <v>37</v>
      </c>
      <c r="D5">
        <v>18</v>
      </c>
      <c r="E5" s="93">
        <v>21.2084487534626</v>
      </c>
      <c r="F5">
        <v>1200</v>
      </c>
      <c r="G5" s="93">
        <v>193</v>
      </c>
      <c r="H5" s="93">
        <v>38.2</v>
      </c>
      <c r="I5" s="93">
        <v>69.08</v>
      </c>
      <c r="J5" s="96">
        <v>1354</v>
      </c>
      <c r="K5">
        <v>2</v>
      </c>
      <c r="L5" s="93">
        <v>11.9</v>
      </c>
    </row>
    <row r="6" spans="1:12">
      <c r="A6" s="88">
        <v>5</v>
      </c>
      <c r="B6" t="s">
        <v>74</v>
      </c>
      <c r="C6" t="s">
        <v>37</v>
      </c>
      <c r="D6">
        <v>19</v>
      </c>
      <c r="E6" s="93">
        <v>18.3654729109275</v>
      </c>
      <c r="F6">
        <v>600</v>
      </c>
      <c r="G6" s="93">
        <v>193</v>
      </c>
      <c r="H6" s="93">
        <v>38.2</v>
      </c>
      <c r="I6" s="93">
        <v>69.08</v>
      </c>
      <c r="J6" s="96">
        <v>1354</v>
      </c>
      <c r="K6">
        <v>2</v>
      </c>
      <c r="L6" s="93">
        <v>33.41</v>
      </c>
    </row>
    <row r="7" spans="1:12">
      <c r="A7" s="88">
        <v>6</v>
      </c>
      <c r="B7" t="s">
        <v>78</v>
      </c>
      <c r="C7" t="s">
        <v>52</v>
      </c>
      <c r="D7">
        <v>18</v>
      </c>
      <c r="E7" s="93">
        <v>21.8775510204082</v>
      </c>
      <c r="F7">
        <v>2000</v>
      </c>
      <c r="G7" s="93">
        <v>286</v>
      </c>
      <c r="H7" s="93">
        <v>64.8</v>
      </c>
      <c r="I7" s="93">
        <v>62.76</v>
      </c>
      <c r="J7" s="96">
        <v>2003</v>
      </c>
      <c r="K7">
        <v>2</v>
      </c>
      <c r="L7" s="93">
        <v>11.06</v>
      </c>
    </row>
    <row r="8" spans="1:12">
      <c r="A8" s="88">
        <v>7</v>
      </c>
      <c r="B8" t="s">
        <v>83</v>
      </c>
      <c r="C8" t="s">
        <v>37</v>
      </c>
      <c r="D8">
        <v>20</v>
      </c>
      <c r="E8" s="93">
        <v>18.0802103879027</v>
      </c>
      <c r="F8">
        <v>1700</v>
      </c>
      <c r="G8" s="93">
        <v>224.2</v>
      </c>
      <c r="H8" s="93">
        <v>49.6</v>
      </c>
      <c r="I8" s="93">
        <v>63.68</v>
      </c>
      <c r="J8" s="96">
        <v>1337</v>
      </c>
      <c r="K8">
        <v>2</v>
      </c>
      <c r="L8" s="93">
        <v>24.4</v>
      </c>
    </row>
    <row r="9" spans="1:12">
      <c r="A9" s="88">
        <v>8</v>
      </c>
      <c r="B9" t="s">
        <v>90</v>
      </c>
      <c r="C9" t="s">
        <v>37</v>
      </c>
      <c r="D9">
        <v>19</v>
      </c>
      <c r="E9" s="93">
        <v>19.0039083509627</v>
      </c>
      <c r="F9">
        <v>2100</v>
      </c>
      <c r="G9" s="93">
        <v>278.8</v>
      </c>
      <c r="H9" s="93">
        <v>37.8</v>
      </c>
      <c r="I9" s="93">
        <v>57.68</v>
      </c>
      <c r="J9" s="96">
        <v>1052</v>
      </c>
      <c r="K9">
        <v>2</v>
      </c>
      <c r="L9" s="93">
        <v>15.5</v>
      </c>
    </row>
    <row r="10" spans="1:12">
      <c r="A10" s="88">
        <v>9</v>
      </c>
      <c r="B10" t="s">
        <v>95</v>
      </c>
      <c r="C10" t="s">
        <v>37</v>
      </c>
      <c r="D10">
        <v>20</v>
      </c>
      <c r="E10" s="93">
        <v>20.3125</v>
      </c>
      <c r="F10">
        <v>2000</v>
      </c>
      <c r="G10" s="93">
        <v>210</v>
      </c>
      <c r="H10" s="93">
        <v>70.9</v>
      </c>
      <c r="I10" s="93">
        <v>57.88</v>
      </c>
      <c r="J10" s="96">
        <v>1521</v>
      </c>
      <c r="K10">
        <v>3</v>
      </c>
      <c r="L10" s="93">
        <v>33.4</v>
      </c>
    </row>
    <row r="11" spans="1:12">
      <c r="A11" s="88">
        <v>10</v>
      </c>
      <c r="B11" t="s">
        <v>100</v>
      </c>
      <c r="C11" t="s">
        <v>52</v>
      </c>
      <c r="D11">
        <v>22</v>
      </c>
      <c r="E11" s="93">
        <v>22.4913494809689</v>
      </c>
      <c r="F11">
        <v>1500</v>
      </c>
      <c r="G11" s="93">
        <v>255</v>
      </c>
      <c r="H11" s="93">
        <v>62.5</v>
      </c>
      <c r="I11" s="93">
        <v>71.02</v>
      </c>
      <c r="J11" s="96">
        <v>2063</v>
      </c>
      <c r="K11">
        <v>2</v>
      </c>
      <c r="L11" s="93">
        <v>22.23</v>
      </c>
    </row>
    <row r="12" spans="1:12">
      <c r="A12" s="88">
        <v>11</v>
      </c>
      <c r="B12" t="s">
        <v>103</v>
      </c>
      <c r="C12" t="s">
        <v>37</v>
      </c>
      <c r="D12">
        <v>19</v>
      </c>
      <c r="E12" s="93">
        <v>18.1786703601108</v>
      </c>
      <c r="F12">
        <v>1000</v>
      </c>
      <c r="G12" s="93">
        <v>161.5</v>
      </c>
      <c r="H12" s="93">
        <v>54.4</v>
      </c>
      <c r="I12" s="93">
        <v>36.88</v>
      </c>
      <c r="J12" s="96">
        <v>1366</v>
      </c>
      <c r="K12">
        <v>3</v>
      </c>
      <c r="L12" s="93">
        <v>31.18</v>
      </c>
    </row>
    <row r="13" spans="1:12">
      <c r="A13" s="88">
        <v>12</v>
      </c>
      <c r="B13" t="s">
        <v>108</v>
      </c>
      <c r="C13" t="s">
        <v>37</v>
      </c>
      <c r="D13">
        <v>19</v>
      </c>
      <c r="E13" s="93">
        <v>19.53125</v>
      </c>
      <c r="F13">
        <v>2000</v>
      </c>
      <c r="G13" s="93">
        <v>288.2</v>
      </c>
      <c r="H13" s="93">
        <v>34.1</v>
      </c>
      <c r="I13" s="93">
        <v>86.83</v>
      </c>
      <c r="J13" s="96">
        <v>1527</v>
      </c>
      <c r="K13">
        <v>2</v>
      </c>
      <c r="L13" s="93">
        <v>20</v>
      </c>
    </row>
    <row r="14" spans="1:12">
      <c r="A14" s="88">
        <v>13</v>
      </c>
      <c r="B14" t="s">
        <v>115</v>
      </c>
      <c r="C14" t="s">
        <v>52</v>
      </c>
      <c r="D14">
        <v>23</v>
      </c>
      <c r="E14" s="93">
        <v>24.4897959183673</v>
      </c>
      <c r="F14">
        <v>2000</v>
      </c>
      <c r="G14" s="93">
        <v>138</v>
      </c>
      <c r="H14" s="93">
        <v>25.7</v>
      </c>
      <c r="I14" s="93">
        <v>32.34</v>
      </c>
      <c r="J14" s="96">
        <v>745</v>
      </c>
      <c r="K14">
        <v>2</v>
      </c>
      <c r="L14" s="93">
        <v>15.5</v>
      </c>
    </row>
    <row r="15" spans="1:12">
      <c r="A15" s="88">
        <v>14</v>
      </c>
      <c r="B15" t="s">
        <v>121</v>
      </c>
      <c r="C15" t="s">
        <v>37</v>
      </c>
      <c r="D15">
        <v>17</v>
      </c>
      <c r="E15" s="93">
        <v>18.359375</v>
      </c>
      <c r="F15">
        <v>2400</v>
      </c>
      <c r="G15" s="93">
        <v>162.8</v>
      </c>
      <c r="H15" s="93">
        <v>44.725</v>
      </c>
      <c r="I15" s="93">
        <v>68.705</v>
      </c>
      <c r="J15" s="96">
        <v>2050</v>
      </c>
      <c r="K15">
        <v>3</v>
      </c>
      <c r="L15" s="93">
        <v>33.4</v>
      </c>
    </row>
    <row r="16" spans="1:12">
      <c r="A16" s="88">
        <v>15</v>
      </c>
      <c r="B16" t="s">
        <v>127</v>
      </c>
      <c r="C16" t="s">
        <v>52</v>
      </c>
      <c r="D16">
        <v>19</v>
      </c>
      <c r="E16" s="93">
        <v>23.4567901234568</v>
      </c>
      <c r="F16">
        <v>3000</v>
      </c>
      <c r="G16" s="93">
        <v>250.8</v>
      </c>
      <c r="H16" s="93">
        <v>45.2</v>
      </c>
      <c r="I16" s="93">
        <v>51.08</v>
      </c>
      <c r="J16" s="96">
        <v>1350</v>
      </c>
      <c r="K16">
        <v>2</v>
      </c>
      <c r="L16" s="93">
        <v>22.2</v>
      </c>
    </row>
    <row r="17" spans="1:12">
      <c r="A17" s="88">
        <v>16</v>
      </c>
      <c r="B17" t="s">
        <v>133</v>
      </c>
      <c r="C17" t="s">
        <v>37</v>
      </c>
      <c r="D17">
        <v>18</v>
      </c>
      <c r="E17" s="93">
        <v>22.3081499107674</v>
      </c>
      <c r="F17">
        <v>1500</v>
      </c>
      <c r="G17" s="93">
        <v>193.2</v>
      </c>
      <c r="H17" s="93">
        <v>55.2</v>
      </c>
      <c r="I17" s="93">
        <v>69.08</v>
      </c>
      <c r="J17" s="96">
        <v>1328</v>
      </c>
      <c r="K17">
        <v>2</v>
      </c>
      <c r="L17" s="93">
        <v>15.5</v>
      </c>
    </row>
    <row r="18" spans="1:12">
      <c r="A18" s="88">
        <v>17</v>
      </c>
      <c r="B18" t="s">
        <v>138</v>
      </c>
      <c r="C18" t="s">
        <v>52</v>
      </c>
      <c r="D18">
        <v>20</v>
      </c>
      <c r="E18" s="93">
        <v>20.9572742022715</v>
      </c>
      <c r="F18">
        <v>1500</v>
      </c>
      <c r="G18" s="93">
        <v>169</v>
      </c>
      <c r="H18" s="93">
        <v>60.2</v>
      </c>
      <c r="I18" s="93">
        <v>57.08</v>
      </c>
      <c r="J18" s="96">
        <v>1521</v>
      </c>
      <c r="K18">
        <v>2</v>
      </c>
      <c r="L18" s="93">
        <v>16.65</v>
      </c>
    </row>
    <row r="19" spans="1:12">
      <c r="A19" s="88">
        <v>18</v>
      </c>
      <c r="B19" t="s">
        <v>140</v>
      </c>
      <c r="C19" t="s">
        <v>37</v>
      </c>
      <c r="D19">
        <v>18</v>
      </c>
      <c r="E19" s="93">
        <v>24.5577523413111</v>
      </c>
      <c r="F19">
        <v>1200</v>
      </c>
      <c r="G19" s="93">
        <v>209.8</v>
      </c>
      <c r="H19" s="93">
        <v>87.4</v>
      </c>
      <c r="I19" s="93">
        <v>95.82</v>
      </c>
      <c r="J19" s="96">
        <v>1837</v>
      </c>
      <c r="K19">
        <v>2</v>
      </c>
      <c r="L19" s="93">
        <v>18.4</v>
      </c>
    </row>
    <row r="20" spans="1:12">
      <c r="A20" s="88">
        <v>19</v>
      </c>
      <c r="B20" t="s">
        <v>146</v>
      </c>
      <c r="C20" t="s">
        <v>52</v>
      </c>
      <c r="D20">
        <v>19</v>
      </c>
      <c r="E20" s="93">
        <v>17.8465199286139</v>
      </c>
      <c r="F20">
        <v>2500</v>
      </c>
      <c r="G20" s="93">
        <v>176.8</v>
      </c>
      <c r="H20" s="93">
        <v>35.1</v>
      </c>
      <c r="I20" s="93">
        <v>57.38</v>
      </c>
      <c r="J20" s="96">
        <v>1137</v>
      </c>
      <c r="K20">
        <v>2</v>
      </c>
      <c r="L20" s="93">
        <v>20</v>
      </c>
    </row>
    <row r="21" spans="1:12">
      <c r="A21" s="88">
        <v>20</v>
      </c>
      <c r="B21" t="s">
        <v>152</v>
      </c>
      <c r="C21" t="s">
        <v>37</v>
      </c>
      <c r="D21">
        <v>20</v>
      </c>
      <c r="E21" s="93">
        <v>20.829995193078</v>
      </c>
      <c r="F21">
        <v>1000</v>
      </c>
      <c r="G21" s="93">
        <v>255.2</v>
      </c>
      <c r="H21" s="93">
        <v>35.3</v>
      </c>
      <c r="I21" s="93">
        <v>89.08</v>
      </c>
      <c r="J21" s="96">
        <v>1779</v>
      </c>
      <c r="K21">
        <v>2</v>
      </c>
      <c r="L21" s="93">
        <v>26.7</v>
      </c>
    </row>
    <row r="22" spans="1:12">
      <c r="A22" s="88">
        <v>21</v>
      </c>
      <c r="B22" t="s">
        <v>157</v>
      </c>
      <c r="C22" t="s">
        <v>52</v>
      </c>
      <c r="D22">
        <v>20</v>
      </c>
      <c r="E22" s="93">
        <v>23.8751147842057</v>
      </c>
      <c r="F22">
        <v>2000</v>
      </c>
      <c r="G22" s="93">
        <v>230.8</v>
      </c>
      <c r="H22" s="93">
        <v>43.6</v>
      </c>
      <c r="I22" s="93">
        <v>57.68</v>
      </c>
      <c r="J22" s="96">
        <v>1543</v>
      </c>
      <c r="K22">
        <v>2</v>
      </c>
      <c r="L22" s="93">
        <v>26.7</v>
      </c>
    </row>
    <row r="23" spans="1:12">
      <c r="A23" s="88">
        <v>22</v>
      </c>
      <c r="B23" t="s">
        <v>162</v>
      </c>
      <c r="C23" t="s">
        <v>37</v>
      </c>
      <c r="D23">
        <v>20</v>
      </c>
      <c r="E23" s="93">
        <v>20.3125</v>
      </c>
      <c r="F23">
        <v>2000</v>
      </c>
      <c r="G23" s="93">
        <v>210</v>
      </c>
      <c r="H23" s="93">
        <v>70.9</v>
      </c>
      <c r="I23" s="93">
        <v>57.88</v>
      </c>
      <c r="J23" s="96">
        <v>1521</v>
      </c>
      <c r="K23">
        <v>3</v>
      </c>
      <c r="L23" s="93">
        <v>33.41</v>
      </c>
    </row>
    <row r="24" spans="1:12">
      <c r="A24" s="88">
        <v>23</v>
      </c>
      <c r="B24" t="s">
        <v>163</v>
      </c>
      <c r="C24" t="s">
        <v>37</v>
      </c>
      <c r="D24">
        <v>21</v>
      </c>
      <c r="E24" s="93">
        <v>25.5937370619895</v>
      </c>
      <c r="F24">
        <v>750</v>
      </c>
      <c r="G24" s="93">
        <v>259.6</v>
      </c>
      <c r="H24" s="93">
        <v>51.9</v>
      </c>
      <c r="I24" s="93">
        <v>57.87</v>
      </c>
      <c r="J24" s="96">
        <v>1740</v>
      </c>
      <c r="K24">
        <v>2</v>
      </c>
      <c r="L24" s="93">
        <v>17.76</v>
      </c>
    </row>
    <row r="25" spans="1:12">
      <c r="A25" s="88">
        <v>24</v>
      </c>
      <c r="B25" t="s">
        <v>169</v>
      </c>
      <c r="C25" t="s">
        <v>37</v>
      </c>
      <c r="D25">
        <v>21</v>
      </c>
      <c r="E25" s="93">
        <v>28.4409549751642</v>
      </c>
      <c r="F25">
        <v>1000</v>
      </c>
      <c r="G25" s="93">
        <v>207</v>
      </c>
      <c r="H25" s="93">
        <v>37.8</v>
      </c>
      <c r="I25" s="93">
        <v>72.28</v>
      </c>
      <c r="J25" s="96">
        <v>2026</v>
      </c>
      <c r="K25">
        <v>2</v>
      </c>
      <c r="L25" s="93">
        <v>22.23</v>
      </c>
    </row>
    <row r="26" spans="1:12">
      <c r="A26" s="88">
        <v>25</v>
      </c>
      <c r="B26" t="s">
        <v>171</v>
      </c>
      <c r="C26" t="s">
        <v>37</v>
      </c>
      <c r="D26">
        <v>18</v>
      </c>
      <c r="E26" s="93">
        <v>19.9480597689036</v>
      </c>
      <c r="F26">
        <v>2000</v>
      </c>
      <c r="G26" s="93">
        <v>270.8</v>
      </c>
      <c r="H26" s="93">
        <v>43.6</v>
      </c>
      <c r="I26" s="93">
        <v>89.68</v>
      </c>
      <c r="J26" s="96">
        <v>1652</v>
      </c>
      <c r="K26">
        <v>2</v>
      </c>
      <c r="L26" s="93">
        <v>16.8</v>
      </c>
    </row>
    <row r="27" spans="1:12">
      <c r="A27" s="88">
        <v>26</v>
      </c>
      <c r="B27" t="s">
        <v>176</v>
      </c>
      <c r="C27" t="s">
        <v>37</v>
      </c>
      <c r="D27">
        <v>19</v>
      </c>
      <c r="E27" s="93">
        <v>20.8325296091972</v>
      </c>
      <c r="F27">
        <v>1500</v>
      </c>
      <c r="G27" s="93">
        <v>245</v>
      </c>
      <c r="H27" s="93">
        <v>35.1</v>
      </c>
      <c r="I27" s="93">
        <v>75.38</v>
      </c>
      <c r="J27" s="96">
        <v>1285</v>
      </c>
      <c r="K27">
        <v>2</v>
      </c>
      <c r="L27" s="93">
        <v>19.7</v>
      </c>
    </row>
    <row r="28" spans="1:12">
      <c r="A28" s="88">
        <v>27</v>
      </c>
      <c r="B28" t="s">
        <v>183</v>
      </c>
      <c r="C28" t="s">
        <v>52</v>
      </c>
      <c r="D28">
        <v>19</v>
      </c>
      <c r="E28" s="93">
        <v>20.0474456213038</v>
      </c>
      <c r="F28">
        <v>1500</v>
      </c>
      <c r="G28" s="93">
        <v>169</v>
      </c>
      <c r="H28" s="93">
        <v>60.2</v>
      </c>
      <c r="I28" s="93">
        <v>57.08</v>
      </c>
      <c r="J28" s="96">
        <v>1521</v>
      </c>
      <c r="K28">
        <v>2</v>
      </c>
      <c r="L28" s="93">
        <v>31.18</v>
      </c>
    </row>
    <row r="29" spans="1:12">
      <c r="A29" s="88">
        <v>28</v>
      </c>
      <c r="B29" t="s">
        <v>184</v>
      </c>
      <c r="C29" t="s">
        <v>37</v>
      </c>
      <c r="D29">
        <v>18</v>
      </c>
      <c r="E29" s="93">
        <v>18.4265342092613</v>
      </c>
      <c r="F29">
        <v>1000</v>
      </c>
      <c r="G29" s="93">
        <v>223</v>
      </c>
      <c r="H29" s="93">
        <v>48.6</v>
      </c>
      <c r="I29" s="93">
        <v>94.12</v>
      </c>
      <c r="J29" s="96">
        <v>1486</v>
      </c>
      <c r="K29">
        <v>2</v>
      </c>
      <c r="L29" s="93">
        <v>13.2</v>
      </c>
    </row>
    <row r="30" spans="1:12">
      <c r="A30" s="88">
        <v>29</v>
      </c>
      <c r="B30" t="s">
        <v>189</v>
      </c>
      <c r="C30" t="s">
        <v>52</v>
      </c>
      <c r="D30">
        <v>22</v>
      </c>
      <c r="E30" s="93">
        <v>17.7556818181818</v>
      </c>
      <c r="F30">
        <v>3000</v>
      </c>
      <c r="G30" s="93">
        <v>312.8</v>
      </c>
      <c r="H30" s="93">
        <v>60.6</v>
      </c>
      <c r="I30" s="93">
        <v>54.46</v>
      </c>
      <c r="J30" s="96">
        <v>1751</v>
      </c>
      <c r="K30">
        <v>2</v>
      </c>
      <c r="L30" s="93">
        <v>33.4</v>
      </c>
    </row>
    <row r="31" spans="1:12">
      <c r="A31" s="88">
        <v>30</v>
      </c>
      <c r="B31" t="s">
        <v>195</v>
      </c>
      <c r="C31" t="s">
        <v>52</v>
      </c>
      <c r="D31">
        <v>20</v>
      </c>
      <c r="E31" s="93">
        <v>19.5918367346939</v>
      </c>
      <c r="F31">
        <v>1000</v>
      </c>
      <c r="G31" s="93">
        <v>307.74</v>
      </c>
      <c r="H31" s="93">
        <v>55.95</v>
      </c>
      <c r="I31" s="93">
        <v>71.07</v>
      </c>
      <c r="J31" s="96">
        <v>2571.5</v>
      </c>
      <c r="K31">
        <v>3</v>
      </c>
      <c r="L31" s="93">
        <v>40.1</v>
      </c>
    </row>
    <row r="32" spans="1:12">
      <c r="A32" s="88">
        <v>31</v>
      </c>
      <c r="B32" t="s">
        <v>202</v>
      </c>
      <c r="C32" t="s">
        <v>37</v>
      </c>
      <c r="D32">
        <v>20</v>
      </c>
      <c r="E32" s="93">
        <v>24.034609838167</v>
      </c>
      <c r="F32">
        <v>2000</v>
      </c>
      <c r="G32" s="93">
        <v>221</v>
      </c>
      <c r="H32" s="93">
        <v>35.1</v>
      </c>
      <c r="I32" s="93">
        <v>32.98</v>
      </c>
      <c r="J32" s="96">
        <v>1316</v>
      </c>
      <c r="K32">
        <v>2</v>
      </c>
      <c r="L32" s="93">
        <v>33.4</v>
      </c>
    </row>
    <row r="33" spans="1:12">
      <c r="A33" s="88">
        <v>32</v>
      </c>
      <c r="B33" t="s">
        <v>207</v>
      </c>
      <c r="C33" t="s">
        <v>52</v>
      </c>
      <c r="D33">
        <v>22</v>
      </c>
      <c r="E33" s="93">
        <v>19.5918367346939</v>
      </c>
      <c r="F33">
        <v>2000</v>
      </c>
      <c r="G33" s="93">
        <v>307.74</v>
      </c>
      <c r="H33" s="93">
        <v>55.95</v>
      </c>
      <c r="I33" s="93">
        <v>71.07</v>
      </c>
      <c r="J33" s="96">
        <v>2571.5</v>
      </c>
      <c r="K33">
        <v>4</v>
      </c>
      <c r="L33" s="93">
        <v>66.94</v>
      </c>
    </row>
    <row r="34" spans="1:12">
      <c r="A34" s="88">
        <v>33</v>
      </c>
      <c r="B34" t="s">
        <v>208</v>
      </c>
      <c r="C34" t="s">
        <v>37</v>
      </c>
      <c r="D34">
        <v>23</v>
      </c>
      <c r="E34" s="93">
        <v>17.0068027210884</v>
      </c>
      <c r="F34">
        <v>1500</v>
      </c>
      <c r="G34" s="93">
        <v>96</v>
      </c>
      <c r="H34" s="93">
        <v>35.1</v>
      </c>
      <c r="I34" s="93">
        <v>26.38</v>
      </c>
      <c r="J34" s="96">
        <v>987</v>
      </c>
      <c r="K34">
        <v>2</v>
      </c>
      <c r="L34" s="93">
        <v>22.23</v>
      </c>
    </row>
    <row r="35" spans="1:12">
      <c r="A35" s="88">
        <v>34</v>
      </c>
      <c r="B35" t="s">
        <v>212</v>
      </c>
      <c r="C35" t="s">
        <v>37</v>
      </c>
      <c r="D35">
        <v>19</v>
      </c>
      <c r="E35" s="93">
        <v>23.6127508854782</v>
      </c>
      <c r="F35">
        <v>2000</v>
      </c>
      <c r="G35" s="93">
        <v>144</v>
      </c>
      <c r="H35" s="93">
        <v>43.8</v>
      </c>
      <c r="I35" s="93">
        <v>38.38</v>
      </c>
      <c r="J35" s="96">
        <v>1112</v>
      </c>
      <c r="K35">
        <v>2</v>
      </c>
      <c r="L35" s="93">
        <v>22.23</v>
      </c>
    </row>
    <row r="36" spans="1:12">
      <c r="A36" s="88">
        <v>35</v>
      </c>
      <c r="B36" t="s">
        <v>216</v>
      </c>
      <c r="C36" t="s">
        <v>37</v>
      </c>
      <c r="D36">
        <v>19</v>
      </c>
      <c r="E36" s="93">
        <v>22.6666666666667</v>
      </c>
      <c r="F36">
        <v>1500</v>
      </c>
      <c r="G36" s="93">
        <v>287.8</v>
      </c>
      <c r="H36" s="93">
        <v>95.5</v>
      </c>
      <c r="I36" s="93">
        <v>88.52</v>
      </c>
      <c r="J36" s="96">
        <v>2063</v>
      </c>
      <c r="K36">
        <v>2</v>
      </c>
      <c r="L36" s="93">
        <v>22.23</v>
      </c>
    </row>
    <row r="37" spans="1:12">
      <c r="A37" s="88">
        <v>36</v>
      </c>
      <c r="B37" t="s">
        <v>221</v>
      </c>
      <c r="C37" t="s">
        <v>37</v>
      </c>
      <c r="D37">
        <v>19</v>
      </c>
      <c r="E37" s="93">
        <v>23.1246703720232</v>
      </c>
      <c r="F37">
        <v>2000</v>
      </c>
      <c r="G37" s="93">
        <v>136.65</v>
      </c>
      <c r="H37" s="93">
        <v>70.65</v>
      </c>
      <c r="I37" s="93">
        <v>50.75</v>
      </c>
      <c r="J37" s="96">
        <v>1588.5</v>
      </c>
      <c r="K37">
        <v>2</v>
      </c>
      <c r="L37" s="93">
        <v>26.7</v>
      </c>
    </row>
    <row r="38" spans="1:12">
      <c r="A38" s="88">
        <v>37</v>
      </c>
      <c r="B38" t="s">
        <v>225</v>
      </c>
      <c r="C38" t="s">
        <v>37</v>
      </c>
      <c r="D38">
        <v>18</v>
      </c>
      <c r="E38" s="93">
        <v>14.453125</v>
      </c>
      <c r="F38">
        <v>2500</v>
      </c>
      <c r="G38" s="93">
        <v>108</v>
      </c>
      <c r="H38" s="93">
        <v>32.4</v>
      </c>
      <c r="I38" s="93">
        <v>48.08</v>
      </c>
      <c r="J38" s="96">
        <v>894</v>
      </c>
      <c r="K38">
        <v>3</v>
      </c>
      <c r="L38" s="93">
        <v>33.4</v>
      </c>
    </row>
    <row r="39" spans="1:12">
      <c r="A39" s="88">
        <v>38</v>
      </c>
      <c r="B39" t="s">
        <v>232</v>
      </c>
      <c r="C39" t="s">
        <v>37</v>
      </c>
      <c r="D39">
        <v>19</v>
      </c>
      <c r="E39" s="93">
        <v>18.0802103879027</v>
      </c>
      <c r="F39">
        <v>1500</v>
      </c>
      <c r="G39" s="93">
        <v>278.8</v>
      </c>
      <c r="H39" s="93">
        <v>44.4</v>
      </c>
      <c r="I39" s="93">
        <v>33.56</v>
      </c>
      <c r="J39" s="96">
        <v>1384</v>
      </c>
      <c r="K39">
        <v>2</v>
      </c>
      <c r="L39" s="93">
        <v>22.23</v>
      </c>
    </row>
    <row r="40" spans="1:12">
      <c r="A40" s="88">
        <v>39</v>
      </c>
      <c r="B40" t="s">
        <v>235</v>
      </c>
      <c r="C40" t="s">
        <v>37</v>
      </c>
      <c r="D40">
        <v>20</v>
      </c>
      <c r="E40" s="93">
        <v>20.3125</v>
      </c>
      <c r="F40">
        <v>2000</v>
      </c>
      <c r="G40" s="93">
        <v>210</v>
      </c>
      <c r="H40" s="93">
        <v>70.9</v>
      </c>
      <c r="I40" s="93">
        <v>57.88</v>
      </c>
      <c r="J40" s="96">
        <v>1521</v>
      </c>
      <c r="K40">
        <v>3</v>
      </c>
      <c r="L40" s="93">
        <v>33.41</v>
      </c>
    </row>
    <row r="41" spans="1:12">
      <c r="A41" s="88">
        <v>40</v>
      </c>
      <c r="B41" t="s">
        <v>236</v>
      </c>
      <c r="C41" t="s">
        <v>52</v>
      </c>
      <c r="D41">
        <v>20</v>
      </c>
      <c r="E41" s="93">
        <v>24.4472789115646</v>
      </c>
      <c r="F41">
        <v>2000</v>
      </c>
      <c r="G41" s="93">
        <v>266.8</v>
      </c>
      <c r="H41" s="93">
        <v>84.5</v>
      </c>
      <c r="I41" s="93">
        <v>60.52</v>
      </c>
      <c r="J41" s="96">
        <v>2435</v>
      </c>
      <c r="K41">
        <v>2</v>
      </c>
      <c r="L41" s="93">
        <v>33.4</v>
      </c>
    </row>
    <row r="42" spans="1:12">
      <c r="A42" s="88">
        <v>41</v>
      </c>
      <c r="B42" t="s">
        <v>239</v>
      </c>
      <c r="C42" t="s">
        <v>37</v>
      </c>
      <c r="D42">
        <v>20</v>
      </c>
      <c r="E42" s="93">
        <v>22.6757369614512</v>
      </c>
      <c r="F42">
        <v>1500</v>
      </c>
      <c r="G42" s="93">
        <v>198.2</v>
      </c>
      <c r="H42" s="93">
        <v>46.3</v>
      </c>
      <c r="I42" s="93">
        <v>57.58</v>
      </c>
      <c r="J42" s="96">
        <v>1499</v>
      </c>
      <c r="K42">
        <v>2</v>
      </c>
      <c r="L42" s="93">
        <v>24.4</v>
      </c>
    </row>
  </sheetData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I99"/>
  <sheetViews>
    <sheetView workbookViewId="0">
      <selection activeCell="K17" sqref="K17"/>
    </sheetView>
  </sheetViews>
  <sheetFormatPr defaultColWidth="9" defaultRowHeight="12.75"/>
  <sheetData>
    <row r="5" ht="13.8" customHeight="1" spans="1:9">
      <c r="A5" s="56" t="s">
        <v>312</v>
      </c>
      <c r="B5" s="56"/>
      <c r="C5" s="56"/>
      <c r="D5" s="56"/>
      <c r="E5" s="56"/>
      <c r="F5" s="56"/>
      <c r="G5" s="56"/>
      <c r="H5" s="57"/>
      <c r="I5" s="87"/>
    </row>
    <row r="6" ht="23.4" customHeight="1" spans="1:9">
      <c r="A6" s="58" t="s">
        <v>313</v>
      </c>
      <c r="B6" s="59" t="s">
        <v>314</v>
      </c>
      <c r="C6" s="60"/>
      <c r="D6" s="61"/>
      <c r="E6" s="61" t="s">
        <v>315</v>
      </c>
      <c r="F6" s="59"/>
      <c r="G6" s="59"/>
      <c r="H6" s="57"/>
      <c r="I6" s="87"/>
    </row>
    <row r="7" spans="1:9">
      <c r="A7" s="62"/>
      <c r="B7" s="63" t="s">
        <v>316</v>
      </c>
      <c r="C7" s="64" t="s">
        <v>317</v>
      </c>
      <c r="D7" s="65" t="s">
        <v>318</v>
      </c>
      <c r="E7" s="64" t="s">
        <v>316</v>
      </c>
      <c r="F7" s="64" t="s">
        <v>317</v>
      </c>
      <c r="G7" s="65" t="s">
        <v>318</v>
      </c>
      <c r="H7" s="57"/>
      <c r="I7" s="87"/>
    </row>
    <row r="8" ht="13.5" spans="1:9">
      <c r="A8" s="66" t="s">
        <v>6</v>
      </c>
      <c r="B8" s="67">
        <v>0.0923108303459197</v>
      </c>
      <c r="C8" s="68">
        <v>41</v>
      </c>
      <c r="D8" s="69" t="s">
        <v>319</v>
      </c>
      <c r="E8" s="70">
        <v>0.95807758088595</v>
      </c>
      <c r="F8" s="68">
        <v>41</v>
      </c>
      <c r="G8" s="71">
        <v>0.134670299433186</v>
      </c>
      <c r="H8" s="57"/>
      <c r="I8" s="87"/>
    </row>
    <row r="9" spans="1:9">
      <c r="A9" s="72" t="s">
        <v>320</v>
      </c>
      <c r="B9" s="73">
        <v>0.179845324435317</v>
      </c>
      <c r="C9" s="74">
        <v>41</v>
      </c>
      <c r="D9" s="75">
        <v>0.0018473538905092</v>
      </c>
      <c r="E9" s="76">
        <v>0.936405220760567</v>
      </c>
      <c r="F9" s="74">
        <v>41</v>
      </c>
      <c r="G9" s="75">
        <v>0.023693289150174</v>
      </c>
      <c r="H9" s="57"/>
      <c r="I9" s="87"/>
    </row>
    <row r="10" ht="13.5" spans="1:9">
      <c r="A10" s="72" t="s">
        <v>321</v>
      </c>
      <c r="B10" s="73">
        <v>0.0832152334063893</v>
      </c>
      <c r="C10" s="74">
        <v>41</v>
      </c>
      <c r="D10" s="77" t="s">
        <v>319</v>
      </c>
      <c r="E10" s="76">
        <v>0.988464970824536</v>
      </c>
      <c r="F10" s="74">
        <v>41</v>
      </c>
      <c r="G10" s="75">
        <v>0.946854643236264</v>
      </c>
      <c r="H10" s="57"/>
      <c r="I10" s="87"/>
    </row>
    <row r="11" spans="1:9">
      <c r="A11" s="72" t="s">
        <v>245</v>
      </c>
      <c r="B11" s="73">
        <v>0.120248756082679</v>
      </c>
      <c r="C11" s="74">
        <v>41</v>
      </c>
      <c r="D11" s="75">
        <v>0.142760622858644</v>
      </c>
      <c r="E11" s="76">
        <v>0.928754200941957</v>
      </c>
      <c r="F11" s="74">
        <v>41</v>
      </c>
      <c r="G11" s="75">
        <v>0.0131329432325095</v>
      </c>
      <c r="H11" s="57"/>
      <c r="I11" s="87"/>
    </row>
    <row r="12" spans="1:9">
      <c r="A12" s="72" t="s">
        <v>322</v>
      </c>
      <c r="B12" s="73">
        <v>0.131330973046655</v>
      </c>
      <c r="C12" s="74">
        <v>41</v>
      </c>
      <c r="D12" s="75">
        <v>0.0727384977664026</v>
      </c>
      <c r="E12" s="76">
        <v>0.952763984881667</v>
      </c>
      <c r="F12" s="74">
        <v>41</v>
      </c>
      <c r="G12" s="75">
        <v>0.0875351197538338</v>
      </c>
      <c r="H12" s="57"/>
      <c r="I12" s="87"/>
    </row>
    <row r="13" spans="1:9">
      <c r="A13" s="72" t="s">
        <v>323</v>
      </c>
      <c r="B13" s="73">
        <v>0.165616359535261</v>
      </c>
      <c r="C13" s="74">
        <v>41</v>
      </c>
      <c r="D13" s="75">
        <v>0.00630177364323484</v>
      </c>
      <c r="E13" s="76">
        <v>0.920445902694896</v>
      </c>
      <c r="F13" s="74">
        <v>41</v>
      </c>
      <c r="G13" s="75">
        <v>0.00704960828675498</v>
      </c>
      <c r="H13" s="57"/>
      <c r="I13" s="87"/>
    </row>
    <row r="14" spans="1:9">
      <c r="A14" s="78" t="s">
        <v>324</v>
      </c>
      <c r="B14" s="79">
        <v>0.471555413828588</v>
      </c>
      <c r="C14" s="80">
        <v>41</v>
      </c>
      <c r="D14" s="81">
        <v>2.76587816944409e-26</v>
      </c>
      <c r="E14" s="82">
        <v>0.539241628599239</v>
      </c>
      <c r="F14" s="80">
        <v>41</v>
      </c>
      <c r="G14" s="81">
        <v>3.71766384052302e-10</v>
      </c>
      <c r="H14" s="57"/>
      <c r="I14" s="87"/>
    </row>
    <row r="15" ht="24.6" customHeight="1" spans="1:9">
      <c r="A15" s="83" t="s">
        <v>325</v>
      </c>
      <c r="B15" s="83"/>
      <c r="C15" s="83"/>
      <c r="D15" s="84"/>
      <c r="E15" s="84"/>
      <c r="F15" s="84"/>
      <c r="G15" s="84"/>
      <c r="H15" s="57"/>
      <c r="I15" s="87"/>
    </row>
    <row r="16" ht="21" customHeight="1" spans="1:9">
      <c r="A16" s="84" t="s">
        <v>326</v>
      </c>
      <c r="B16" s="84"/>
      <c r="C16" s="84"/>
      <c r="D16" s="84"/>
      <c r="E16" s="84"/>
      <c r="F16" s="84"/>
      <c r="G16" s="84"/>
      <c r="H16" s="57"/>
      <c r="I16" s="87"/>
    </row>
    <row r="17" ht="21" customHeight="1" spans="1:9">
      <c r="A17" s="85" t="s">
        <v>327</v>
      </c>
      <c r="B17" s="85"/>
      <c r="C17" s="84"/>
      <c r="D17" s="84"/>
      <c r="E17" s="84"/>
      <c r="F17" s="84"/>
      <c r="G17" s="84"/>
      <c r="H17" s="57"/>
      <c r="I17" s="87"/>
    </row>
    <row r="18" spans="1:9">
      <c r="A18" s="1" t="s">
        <v>6</v>
      </c>
      <c r="B18" s="1" t="s">
        <v>328</v>
      </c>
      <c r="I18" s="87"/>
    </row>
    <row r="19" spans="1:9">
      <c r="A19" s="1" t="s">
        <v>320</v>
      </c>
      <c r="B19" s="1" t="s">
        <v>329</v>
      </c>
      <c r="I19" s="87"/>
    </row>
    <row r="20" spans="1:9">
      <c r="A20" s="1" t="s">
        <v>321</v>
      </c>
      <c r="B20" s="1" t="s">
        <v>328</v>
      </c>
      <c r="I20" s="87"/>
    </row>
    <row r="21" spans="1:9">
      <c r="A21" s="1" t="s">
        <v>245</v>
      </c>
      <c r="B21" s="1" t="s">
        <v>330</v>
      </c>
      <c r="I21" s="87"/>
    </row>
    <row r="22" spans="1:9">
      <c r="A22" s="1" t="s">
        <v>322</v>
      </c>
      <c r="B22" s="1" t="s">
        <v>331</v>
      </c>
      <c r="I22" s="87"/>
    </row>
    <row r="23" spans="1:9">
      <c r="A23" s="1" t="s">
        <v>323</v>
      </c>
      <c r="B23" s="1" t="s">
        <v>332</v>
      </c>
      <c r="I23" s="87"/>
    </row>
    <row r="24" spans="1:9">
      <c r="A24" s="1" t="s">
        <v>324</v>
      </c>
      <c r="B24" s="1" t="s">
        <v>333</v>
      </c>
      <c r="I24" s="87"/>
    </row>
    <row r="25" spans="9:9">
      <c r="I25" s="87"/>
    </row>
    <row r="26" ht="15" spans="1:9">
      <c r="A26" s="86" t="s">
        <v>334</v>
      </c>
      <c r="B26" s="86"/>
      <c r="I26" s="87"/>
    </row>
    <row r="27" spans="1:9">
      <c r="A27" s="1" t="s">
        <v>6</v>
      </c>
      <c r="B27" s="1" t="s">
        <v>335</v>
      </c>
      <c r="I27" s="87"/>
    </row>
    <row r="28" spans="1:9">
      <c r="A28" s="1" t="s">
        <v>320</v>
      </c>
      <c r="B28" s="1" t="s">
        <v>336</v>
      </c>
      <c r="I28" s="87"/>
    </row>
    <row r="29" spans="1:9">
      <c r="A29" s="1" t="s">
        <v>321</v>
      </c>
      <c r="B29" s="1" t="s">
        <v>337</v>
      </c>
      <c r="I29" s="87"/>
    </row>
    <row r="30" spans="1:9">
      <c r="A30" s="1" t="s">
        <v>245</v>
      </c>
      <c r="B30" s="1" t="s">
        <v>338</v>
      </c>
      <c r="I30" s="87"/>
    </row>
    <row r="31" spans="1:9">
      <c r="A31" s="1" t="s">
        <v>322</v>
      </c>
      <c r="B31" s="1" t="s">
        <v>339</v>
      </c>
      <c r="I31" s="87"/>
    </row>
    <row r="32" spans="1:9">
      <c r="A32" s="1" t="s">
        <v>323</v>
      </c>
      <c r="B32" s="1" t="s">
        <v>340</v>
      </c>
      <c r="I32" s="87"/>
    </row>
    <row r="33" spans="1:9">
      <c r="A33" s="1" t="s">
        <v>324</v>
      </c>
      <c r="B33" s="1" t="s">
        <v>341</v>
      </c>
      <c r="I33" s="87"/>
    </row>
    <row r="34" spans="9:9">
      <c r="I34" s="87"/>
    </row>
    <row r="35" spans="1:9">
      <c r="A35" s="1" t="s">
        <v>342</v>
      </c>
      <c r="I35" s="87"/>
    </row>
    <row r="36" spans="1:9">
      <c r="A36" s="1" t="s">
        <v>343</v>
      </c>
      <c r="I36" s="87"/>
    </row>
    <row r="37" spans="1:9">
      <c r="A37" s="53" t="s">
        <v>6</v>
      </c>
      <c r="I37" s="87"/>
    </row>
    <row r="38" spans="1:9">
      <c r="A38" s="53" t="s">
        <v>321</v>
      </c>
      <c r="I38" s="87"/>
    </row>
    <row r="39" spans="1:9">
      <c r="A39" s="53" t="s">
        <v>322</v>
      </c>
      <c r="I39" s="87"/>
    </row>
    <row r="40" spans="9:9">
      <c r="I40" s="87"/>
    </row>
    <row r="41" spans="9:9">
      <c r="I41" s="87"/>
    </row>
    <row r="42" spans="9:9">
      <c r="I42" s="87"/>
    </row>
    <row r="43" spans="9:9">
      <c r="I43" s="87"/>
    </row>
    <row r="44" spans="9:9">
      <c r="I44" s="87"/>
    </row>
    <row r="45" spans="9:9">
      <c r="I45" s="87"/>
    </row>
    <row r="46" spans="9:9">
      <c r="I46" s="87"/>
    </row>
    <row r="47" spans="9:9">
      <c r="I47" s="87"/>
    </row>
    <row r="48" spans="9:9">
      <c r="I48" s="87"/>
    </row>
    <row r="49" spans="9:9">
      <c r="I49" s="87"/>
    </row>
    <row r="50" spans="9:9">
      <c r="I50" s="87"/>
    </row>
    <row r="51" spans="9:9">
      <c r="I51" s="87"/>
    </row>
    <row r="52" spans="9:9">
      <c r="I52" s="87"/>
    </row>
    <row r="53" spans="9:9">
      <c r="I53" s="87"/>
    </row>
    <row r="54" spans="9:9">
      <c r="I54" s="87"/>
    </row>
    <row r="55" spans="9:9">
      <c r="I55" s="87"/>
    </row>
    <row r="56" spans="9:9">
      <c r="I56" s="87"/>
    </row>
    <row r="57" spans="9:9">
      <c r="I57" s="87"/>
    </row>
    <row r="58" spans="9:9">
      <c r="I58" s="87"/>
    </row>
    <row r="59" spans="9:9">
      <c r="I59" s="87"/>
    </row>
    <row r="60" spans="9:9">
      <c r="I60" s="87"/>
    </row>
    <row r="61" spans="9:9">
      <c r="I61" s="87"/>
    </row>
    <row r="62" spans="9:9">
      <c r="I62" s="87"/>
    </row>
    <row r="63" spans="9:9">
      <c r="I63" s="87"/>
    </row>
    <row r="64" spans="9:9">
      <c r="I64" s="87"/>
    </row>
    <row r="65" spans="9:9">
      <c r="I65" s="87"/>
    </row>
    <row r="66" spans="9:9">
      <c r="I66" s="87"/>
    </row>
    <row r="67" spans="9:9">
      <c r="I67" s="87"/>
    </row>
    <row r="68" spans="9:9">
      <c r="I68" s="87"/>
    </row>
    <row r="69" spans="9:9">
      <c r="I69" s="87"/>
    </row>
    <row r="70" spans="9:9">
      <c r="I70" s="87"/>
    </row>
    <row r="71" spans="9:9">
      <c r="I71" s="87"/>
    </row>
    <row r="72" spans="9:9">
      <c r="I72" s="87"/>
    </row>
    <row r="73" spans="9:9">
      <c r="I73" s="87"/>
    </row>
    <row r="74" spans="9:9">
      <c r="I74" s="87"/>
    </row>
    <row r="75" spans="9:9">
      <c r="I75" s="87"/>
    </row>
    <row r="76" spans="9:9">
      <c r="I76" s="87"/>
    </row>
    <row r="77" spans="9:9">
      <c r="I77" s="87"/>
    </row>
    <row r="78" spans="9:9">
      <c r="I78" s="87"/>
    </row>
    <row r="79" spans="9:9">
      <c r="I79" s="87"/>
    </row>
    <row r="80" spans="9:9">
      <c r="I80" s="87"/>
    </row>
    <row r="81" spans="9:9">
      <c r="I81" s="87"/>
    </row>
    <row r="82" spans="9:9">
      <c r="I82" s="87"/>
    </row>
    <row r="83" spans="9:9">
      <c r="I83" s="87"/>
    </row>
    <row r="84" spans="9:9">
      <c r="I84" s="87"/>
    </row>
    <row r="85" spans="9:9">
      <c r="I85" s="87"/>
    </row>
    <row r="86" spans="9:9">
      <c r="I86" s="87"/>
    </row>
    <row r="87" spans="9:9">
      <c r="I87" s="87"/>
    </row>
    <row r="88" spans="9:9">
      <c r="I88" s="87"/>
    </row>
    <row r="89" spans="9:9">
      <c r="I89" s="87"/>
    </row>
    <row r="90" spans="9:9">
      <c r="I90" s="87"/>
    </row>
    <row r="91" spans="9:9">
      <c r="I91" s="87"/>
    </row>
    <row r="92" spans="9:9">
      <c r="I92" s="87"/>
    </row>
    <row r="93" spans="9:9">
      <c r="I93" s="87"/>
    </row>
    <row r="94" spans="9:9">
      <c r="I94" s="87"/>
    </row>
    <row r="95" spans="9:9">
      <c r="I95" s="87"/>
    </row>
    <row r="96" spans="9:9">
      <c r="I96" s="87"/>
    </row>
    <row r="97" spans="9:9">
      <c r="I97" s="87"/>
    </row>
    <row r="98" spans="9:9">
      <c r="I98" s="87"/>
    </row>
    <row r="99" spans="9:9">
      <c r="I99" s="87"/>
    </row>
  </sheetData>
  <mergeCells count="7">
    <mergeCell ref="A5:G5"/>
    <mergeCell ref="B6:D6"/>
    <mergeCell ref="E6:G6"/>
    <mergeCell ref="A15:C15"/>
    <mergeCell ref="A16:C16"/>
    <mergeCell ref="A17:B17"/>
    <mergeCell ref="A26:B2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L123"/>
  <sheetViews>
    <sheetView workbookViewId="0">
      <selection activeCell="D12" sqref="D12"/>
    </sheetView>
  </sheetViews>
  <sheetFormatPr defaultColWidth="9" defaultRowHeight="12.75"/>
  <sheetData>
    <row r="5" ht="15" spans="1:10">
      <c r="A5" s="33" t="s">
        <v>344</v>
      </c>
      <c r="B5" s="33"/>
      <c r="C5" s="33"/>
      <c r="D5" s="33"/>
      <c r="E5" s="33"/>
      <c r="F5" s="33"/>
      <c r="G5" s="33"/>
      <c r="H5" s="33"/>
      <c r="I5" s="33"/>
      <c r="J5" s="49"/>
    </row>
    <row r="6" spans="1:11">
      <c r="A6" s="34" t="s">
        <v>313</v>
      </c>
      <c r="B6" s="34"/>
      <c r="C6" s="35" t="s">
        <v>6</v>
      </c>
      <c r="D6" s="36" t="s">
        <v>320</v>
      </c>
      <c r="E6" s="36" t="s">
        <v>321</v>
      </c>
      <c r="F6" s="36" t="s">
        <v>245</v>
      </c>
      <c r="G6" s="36" t="s">
        <v>322</v>
      </c>
      <c r="H6" s="36" t="s">
        <v>323</v>
      </c>
      <c r="I6" s="50" t="s">
        <v>324</v>
      </c>
      <c r="J6" s="49"/>
      <c r="K6" s="1" t="s">
        <v>342</v>
      </c>
    </row>
    <row r="7" spans="1:11">
      <c r="A7" s="37" t="s">
        <v>345</v>
      </c>
      <c r="B7" s="37" t="s">
        <v>346</v>
      </c>
      <c r="C7" s="38">
        <v>41</v>
      </c>
      <c r="D7" s="39">
        <v>41</v>
      </c>
      <c r="E7" s="39">
        <v>41</v>
      </c>
      <c r="F7" s="39">
        <v>41</v>
      </c>
      <c r="G7" s="39">
        <v>41</v>
      </c>
      <c r="H7" s="39">
        <v>41</v>
      </c>
      <c r="I7" s="51">
        <v>41</v>
      </c>
      <c r="J7" s="49"/>
      <c r="K7" s="1" t="s">
        <v>343</v>
      </c>
    </row>
    <row r="8" spans="1:11">
      <c r="A8" s="40"/>
      <c r="B8" s="40" t="s">
        <v>347</v>
      </c>
      <c r="C8" s="41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52">
        <v>0</v>
      </c>
      <c r="J8" s="49"/>
      <c r="K8" s="53" t="s">
        <v>320</v>
      </c>
    </row>
    <row r="9" spans="1:11">
      <c r="A9" s="40" t="s">
        <v>348</v>
      </c>
      <c r="B9" s="40"/>
      <c r="C9" s="43">
        <v>0.782947068926844</v>
      </c>
      <c r="D9" s="44">
        <v>0.254136634089161</v>
      </c>
      <c r="E9" s="44">
        <v>0.0763869224764134</v>
      </c>
      <c r="F9" s="44">
        <v>0.878792724648761</v>
      </c>
      <c r="G9" s="44">
        <v>0.0348480343251092</v>
      </c>
      <c r="H9" s="44">
        <v>1.19128961558392</v>
      </c>
      <c r="I9" s="54">
        <v>1.8912753097712</v>
      </c>
      <c r="J9" s="49"/>
      <c r="K9" s="53" t="s">
        <v>321</v>
      </c>
    </row>
    <row r="10" ht="18" customHeight="1" spans="1:11">
      <c r="A10" s="45" t="s">
        <v>349</v>
      </c>
      <c r="B10" s="45"/>
      <c r="C10" s="43">
        <v>0.369499846454821</v>
      </c>
      <c r="D10" s="44">
        <v>0.369499846454821</v>
      </c>
      <c r="E10" s="44">
        <v>0.369499846454821</v>
      </c>
      <c r="F10" s="44">
        <v>0.369499846454821</v>
      </c>
      <c r="G10" s="44">
        <v>0.369499846454821</v>
      </c>
      <c r="H10" s="44">
        <v>0.369499846454821</v>
      </c>
      <c r="I10" s="54">
        <v>0.369499846454821</v>
      </c>
      <c r="J10" s="49"/>
      <c r="K10" s="53" t="s">
        <v>322</v>
      </c>
    </row>
    <row r="11" spans="1:10">
      <c r="A11" s="40" t="s">
        <v>350</v>
      </c>
      <c r="B11" s="40"/>
      <c r="C11" s="43">
        <v>1.21255406207572</v>
      </c>
      <c r="D11" s="44">
        <v>-0.16942712428403</v>
      </c>
      <c r="E11" s="44">
        <v>-0.359873194229096</v>
      </c>
      <c r="F11" s="44">
        <v>0.326982452221055</v>
      </c>
      <c r="G11" s="44">
        <v>-0.275177147218722</v>
      </c>
      <c r="H11" s="44">
        <v>2.41004275763603</v>
      </c>
      <c r="I11" s="54">
        <v>2.98349877834303</v>
      </c>
      <c r="J11" s="49"/>
    </row>
    <row r="12" ht="36" spans="1:10">
      <c r="A12" s="46" t="s">
        <v>351</v>
      </c>
      <c r="B12" s="46"/>
      <c r="C12" s="47">
        <v>0.724482975703239</v>
      </c>
      <c r="D12" s="48">
        <v>0.724482975703239</v>
      </c>
      <c r="E12" s="48">
        <v>0.724482975703239</v>
      </c>
      <c r="F12" s="48">
        <v>0.724482975703239</v>
      </c>
      <c r="G12" s="48">
        <v>0.724482975703239</v>
      </c>
      <c r="H12" s="48">
        <v>0.724482975703239</v>
      </c>
      <c r="I12" s="55">
        <v>0.724482975703239</v>
      </c>
      <c r="J12" s="49"/>
    </row>
    <row r="18" spans="10:10">
      <c r="J18" s="1" t="s">
        <v>352</v>
      </c>
    </row>
    <row r="19" spans="10:12">
      <c r="J19">
        <f>C9/C10</f>
        <v>2.11893746760346</v>
      </c>
      <c r="L19" s="1"/>
    </row>
    <row r="21" spans="10:10">
      <c r="J21" s="1" t="s">
        <v>353</v>
      </c>
    </row>
    <row r="22" spans="10:12">
      <c r="J22">
        <f>C11/C12</f>
        <v>1.67368192592616</v>
      </c>
      <c r="L22" s="1" t="s">
        <v>354</v>
      </c>
    </row>
    <row r="24" spans="10:10">
      <c r="J24" s="1" t="s">
        <v>355</v>
      </c>
    </row>
    <row r="25" spans="10:10">
      <c r="J25" s="1" t="s">
        <v>356</v>
      </c>
    </row>
    <row r="36" spans="10:10">
      <c r="J36" s="1" t="s">
        <v>352</v>
      </c>
    </row>
    <row r="37" spans="10:12">
      <c r="J37">
        <f>D9/D10</f>
        <v>0.687785493086083</v>
      </c>
      <c r="L37" s="1" t="s">
        <v>354</v>
      </c>
    </row>
    <row r="39" spans="10:10">
      <c r="J39" s="1" t="s">
        <v>353</v>
      </c>
    </row>
    <row r="40" spans="10:12">
      <c r="J40">
        <f>D11/D12</f>
        <v>-0.233859358971921</v>
      </c>
      <c r="L40" s="1" t="s">
        <v>354</v>
      </c>
    </row>
    <row r="42" spans="10:10">
      <c r="J42" s="1" t="s">
        <v>355</v>
      </c>
    </row>
    <row r="43" spans="10:10">
      <c r="J43" s="1" t="s">
        <v>357</v>
      </c>
    </row>
    <row r="52" spans="10:10">
      <c r="J52" s="1" t="s">
        <v>352</v>
      </c>
    </row>
    <row r="53" spans="10:12">
      <c r="J53">
        <f>E9/E10</f>
        <v>0.206730593285248</v>
      </c>
      <c r="L53" s="1" t="s">
        <v>354</v>
      </c>
    </row>
    <row r="55" spans="10:10">
      <c r="J55" s="1" t="s">
        <v>353</v>
      </c>
    </row>
    <row r="56" spans="10:12">
      <c r="J56">
        <f>E11/E12</f>
        <v>-0.496731056902718</v>
      </c>
      <c r="L56" s="1" t="s">
        <v>354</v>
      </c>
    </row>
    <row r="58" spans="10:10">
      <c r="J58" s="1" t="s">
        <v>355</v>
      </c>
    </row>
    <row r="59" spans="10:10">
      <c r="J59" s="1" t="s">
        <v>357</v>
      </c>
    </row>
    <row r="68" spans="10:10">
      <c r="J68" s="1" t="s">
        <v>352</v>
      </c>
    </row>
    <row r="69" spans="10:12">
      <c r="J69">
        <f>F9/F10</f>
        <v>2.37833041902552</v>
      </c>
      <c r="L69" s="1"/>
    </row>
    <row r="71" spans="10:10">
      <c r="J71" s="1" t="s">
        <v>353</v>
      </c>
    </row>
    <row r="72" spans="10:12">
      <c r="J72">
        <f>F11/F12</f>
        <v>0.451332140556734</v>
      </c>
      <c r="L72" s="1" t="s">
        <v>354</v>
      </c>
    </row>
    <row r="74" spans="10:10">
      <c r="J74" s="1" t="s">
        <v>355</v>
      </c>
    </row>
    <row r="75" spans="10:10">
      <c r="J75" s="1" t="s">
        <v>356</v>
      </c>
    </row>
    <row r="84" spans="10:10">
      <c r="J84" s="1" t="s">
        <v>352</v>
      </c>
    </row>
    <row r="85" spans="10:12">
      <c r="J85">
        <f>G9/G10</f>
        <v>0.0943113634808237</v>
      </c>
      <c r="L85" s="1" t="s">
        <v>354</v>
      </c>
    </row>
    <row r="87" spans="10:10">
      <c r="J87" s="1" t="s">
        <v>353</v>
      </c>
    </row>
    <row r="88" spans="10:12">
      <c r="J88">
        <f>G11/G12</f>
        <v>-0.379825553459851</v>
      </c>
      <c r="L88" s="1" t="s">
        <v>354</v>
      </c>
    </row>
    <row r="90" spans="10:10">
      <c r="J90" s="1" t="s">
        <v>355</v>
      </c>
    </row>
    <row r="91" spans="10:10">
      <c r="J91" s="1" t="s">
        <v>357</v>
      </c>
    </row>
    <row r="99" spans="10:10">
      <c r="J99" s="1" t="s">
        <v>352</v>
      </c>
    </row>
    <row r="100" spans="10:12">
      <c r="J100">
        <f>H9/H10</f>
        <v>3.22405983930384</v>
      </c>
      <c r="L100" s="1"/>
    </row>
    <row r="102" spans="10:10">
      <c r="J102" s="1" t="s">
        <v>353</v>
      </c>
    </row>
    <row r="103" spans="10:12">
      <c r="J103">
        <f>H11/H12</f>
        <v>3.32656920653886</v>
      </c>
      <c r="L103" s="1"/>
    </row>
    <row r="105" spans="10:10">
      <c r="J105" s="1" t="s">
        <v>355</v>
      </c>
    </row>
    <row r="106" spans="10:10">
      <c r="J106" s="1" t="s">
        <v>356</v>
      </c>
    </row>
    <row r="116" spans="10:10">
      <c r="J116" s="1" t="s">
        <v>352</v>
      </c>
    </row>
    <row r="117" spans="10:12">
      <c r="J117">
        <f>I9/I10</f>
        <v>5.11847387195719</v>
      </c>
      <c r="L117" s="1"/>
    </row>
    <row r="119" spans="10:10">
      <c r="J119" s="1" t="s">
        <v>353</v>
      </c>
    </row>
    <row r="120" spans="10:12">
      <c r="J120">
        <f>I11/I12</f>
        <v>4.11810750341927</v>
      </c>
      <c r="L120" s="1"/>
    </row>
    <row r="122" spans="10:10">
      <c r="J122" s="1" t="s">
        <v>355</v>
      </c>
    </row>
    <row r="123" spans="10:10">
      <c r="J123" s="1" t="s">
        <v>356</v>
      </c>
    </row>
  </sheetData>
  <mergeCells count="2">
    <mergeCell ref="A5:I5"/>
    <mergeCell ref="A10:B1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P29"/>
  <sheetViews>
    <sheetView topLeftCell="A16" workbookViewId="0">
      <selection activeCell="I13" sqref="I13"/>
    </sheetView>
  </sheetViews>
  <sheetFormatPr defaultColWidth="9" defaultRowHeight="12.75"/>
  <sheetData>
    <row r="4" spans="1:1">
      <c r="A4" s="7"/>
    </row>
    <row r="5" ht="15" spans="1:11">
      <c r="A5" s="8" t="s">
        <v>358</v>
      </c>
      <c r="B5" s="8"/>
      <c r="C5" s="8"/>
      <c r="D5" s="8"/>
      <c r="E5" s="8"/>
      <c r="F5" s="8"/>
      <c r="G5" s="8"/>
      <c r="H5" s="8"/>
      <c r="I5" s="8"/>
      <c r="J5" s="8"/>
      <c r="K5" s="7"/>
    </row>
    <row r="6" spans="1:11">
      <c r="A6" s="9" t="s">
        <v>313</v>
      </c>
      <c r="B6" s="9"/>
      <c r="C6" s="9"/>
      <c r="D6" s="10" t="s">
        <v>6</v>
      </c>
      <c r="E6" s="11" t="s">
        <v>321</v>
      </c>
      <c r="F6" s="11" t="s">
        <v>322</v>
      </c>
      <c r="G6" s="11" t="s">
        <v>320</v>
      </c>
      <c r="H6" s="11" t="s">
        <v>245</v>
      </c>
      <c r="I6" s="11" t="s">
        <v>323</v>
      </c>
      <c r="J6" s="2" t="s">
        <v>324</v>
      </c>
      <c r="K6" s="7"/>
    </row>
    <row r="7" ht="36" spans="1:13">
      <c r="A7" s="3" t="s">
        <v>359</v>
      </c>
      <c r="B7" s="3" t="s">
        <v>6</v>
      </c>
      <c r="C7" s="12" t="s">
        <v>360</v>
      </c>
      <c r="D7" s="13">
        <v>1</v>
      </c>
      <c r="E7" s="14">
        <v>0.0292438440024955</v>
      </c>
      <c r="F7" s="14">
        <v>0.117703479912516</v>
      </c>
      <c r="G7" s="14">
        <v>-0.117203438113672</v>
      </c>
      <c r="H7" s="14">
        <v>0.247394409913333</v>
      </c>
      <c r="I7" s="27" t="s">
        <v>361</v>
      </c>
      <c r="J7" s="28" t="s">
        <v>362</v>
      </c>
      <c r="K7" s="7"/>
      <c r="M7" s="1" t="s">
        <v>363</v>
      </c>
    </row>
    <row r="8" ht="24" spans="1:16">
      <c r="A8" s="15"/>
      <c r="B8" s="15"/>
      <c r="C8" s="15" t="s">
        <v>364</v>
      </c>
      <c r="D8" s="16"/>
      <c r="E8" s="17">
        <v>0.427987634630654</v>
      </c>
      <c r="F8" s="17">
        <v>0.231804835232182</v>
      </c>
      <c r="G8" s="17">
        <v>0.232762151836585</v>
      </c>
      <c r="H8" s="17">
        <v>0.059443666631683</v>
      </c>
      <c r="I8" s="17">
        <v>0.0252642641081558</v>
      </c>
      <c r="J8" s="29">
        <v>0.0470338205974366</v>
      </c>
      <c r="K8" s="7"/>
      <c r="P8" s="1"/>
    </row>
    <row r="9" spans="1:11">
      <c r="A9" s="15"/>
      <c r="B9" s="5"/>
      <c r="C9" s="5" t="s">
        <v>345</v>
      </c>
      <c r="D9" s="18">
        <v>41</v>
      </c>
      <c r="E9" s="19">
        <v>41</v>
      </c>
      <c r="F9" s="19">
        <v>41</v>
      </c>
      <c r="G9" s="19">
        <v>41</v>
      </c>
      <c r="H9" s="19">
        <v>41</v>
      </c>
      <c r="I9" s="19">
        <v>41</v>
      </c>
      <c r="J9" s="30">
        <v>41</v>
      </c>
      <c r="K9" s="7"/>
    </row>
    <row r="10" ht="36" spans="1:13">
      <c r="A10" s="15"/>
      <c r="B10" s="5" t="s">
        <v>321</v>
      </c>
      <c r="C10" s="15" t="s">
        <v>360</v>
      </c>
      <c r="D10" s="20">
        <v>0.0292438440024955</v>
      </c>
      <c r="E10" s="17">
        <v>1</v>
      </c>
      <c r="F10" s="21" t="s">
        <v>365</v>
      </c>
      <c r="G10" s="17">
        <v>-0.0761833156884732</v>
      </c>
      <c r="H10" s="21" t="s">
        <v>366</v>
      </c>
      <c r="I10" s="21" t="s">
        <v>367</v>
      </c>
      <c r="J10" s="29">
        <v>0.0384619180309569</v>
      </c>
      <c r="K10" s="7"/>
      <c r="M10" s="1" t="s">
        <v>368</v>
      </c>
    </row>
    <row r="11" ht="24" spans="1:11">
      <c r="A11" s="15"/>
      <c r="B11" s="15"/>
      <c r="C11" s="15" t="s">
        <v>364</v>
      </c>
      <c r="D11" s="20">
        <v>0.427987634630654</v>
      </c>
      <c r="E11" s="21"/>
      <c r="F11" s="17">
        <v>0.00041464965753297</v>
      </c>
      <c r="G11" s="17">
        <v>0.317958731496041</v>
      </c>
      <c r="H11" s="17">
        <v>0.03381491356854</v>
      </c>
      <c r="I11" s="17">
        <v>0.000204725169872751</v>
      </c>
      <c r="J11" s="29">
        <v>0.405650299494587</v>
      </c>
      <c r="K11" s="7"/>
    </row>
    <row r="12" spans="1:11">
      <c r="A12" s="15"/>
      <c r="B12" s="5"/>
      <c r="C12" s="5" t="s">
        <v>345</v>
      </c>
      <c r="D12" s="18">
        <v>41</v>
      </c>
      <c r="E12" s="19">
        <v>41</v>
      </c>
      <c r="F12" s="19">
        <v>41</v>
      </c>
      <c r="G12" s="19">
        <v>41</v>
      </c>
      <c r="H12" s="19">
        <v>41</v>
      </c>
      <c r="I12" s="19">
        <v>41</v>
      </c>
      <c r="J12" s="30">
        <v>41</v>
      </c>
      <c r="K12" s="7"/>
    </row>
    <row r="13" ht="36" spans="1:13">
      <c r="A13" s="15"/>
      <c r="B13" s="5" t="s">
        <v>322</v>
      </c>
      <c r="C13" s="15" t="s">
        <v>360</v>
      </c>
      <c r="D13" s="20">
        <v>0.117703479912516</v>
      </c>
      <c r="E13" s="21" t="s">
        <v>365</v>
      </c>
      <c r="F13" s="17">
        <v>1</v>
      </c>
      <c r="G13" s="21" t="s">
        <v>369</v>
      </c>
      <c r="H13" s="17">
        <v>0.19656256649734</v>
      </c>
      <c r="I13" s="21" t="s">
        <v>370</v>
      </c>
      <c r="J13" s="29">
        <v>0.064766215168113</v>
      </c>
      <c r="K13" s="7"/>
      <c r="M13" s="1" t="s">
        <v>371</v>
      </c>
    </row>
    <row r="14" ht="24" spans="1:11">
      <c r="A14" s="15"/>
      <c r="B14" s="15"/>
      <c r="C14" s="15" t="s">
        <v>364</v>
      </c>
      <c r="D14" s="20">
        <v>0.231804835232182</v>
      </c>
      <c r="E14" s="17">
        <v>0.00041464965753297</v>
      </c>
      <c r="F14" s="21"/>
      <c r="G14" s="17">
        <v>0.00420486948224904</v>
      </c>
      <c r="H14" s="17">
        <v>0.109021109460206</v>
      </c>
      <c r="I14" s="17">
        <v>0.000501107194361245</v>
      </c>
      <c r="J14" s="29">
        <v>0.34373013781585</v>
      </c>
      <c r="K14" s="7"/>
    </row>
    <row r="15" spans="1:11">
      <c r="A15" s="15"/>
      <c r="B15" s="5"/>
      <c r="C15" s="5" t="s">
        <v>345</v>
      </c>
      <c r="D15" s="18">
        <v>41</v>
      </c>
      <c r="E15" s="19">
        <v>41</v>
      </c>
      <c r="F15" s="19">
        <v>41</v>
      </c>
      <c r="G15" s="19">
        <v>41</v>
      </c>
      <c r="H15" s="19">
        <v>41</v>
      </c>
      <c r="I15" s="19">
        <v>41</v>
      </c>
      <c r="J15" s="30">
        <v>41</v>
      </c>
      <c r="K15" s="7"/>
    </row>
    <row r="16" ht="36" spans="1:13">
      <c r="A16" s="15"/>
      <c r="B16" s="5" t="s">
        <v>320</v>
      </c>
      <c r="C16" s="15" t="s">
        <v>360</v>
      </c>
      <c r="D16" s="20">
        <v>-0.117203438113672</v>
      </c>
      <c r="E16" s="17">
        <v>-0.0761833156884732</v>
      </c>
      <c r="F16" s="21" t="s">
        <v>369</v>
      </c>
      <c r="G16" s="17">
        <v>1</v>
      </c>
      <c r="H16" s="17">
        <v>-0.101370903547321</v>
      </c>
      <c r="I16" s="17">
        <v>-0.168645162287119</v>
      </c>
      <c r="J16" s="29">
        <v>0.0620550402566405</v>
      </c>
      <c r="K16" s="7"/>
      <c r="M16" s="1" t="s">
        <v>372</v>
      </c>
    </row>
    <row r="17" ht="24" spans="1:11">
      <c r="A17" s="15"/>
      <c r="B17" s="15"/>
      <c r="C17" s="15" t="s">
        <v>364</v>
      </c>
      <c r="D17" s="20">
        <v>0.232762151836585</v>
      </c>
      <c r="E17" s="17">
        <v>0.317958731496041</v>
      </c>
      <c r="F17" s="17">
        <v>0.00420486948224904</v>
      </c>
      <c r="G17" s="21"/>
      <c r="H17" s="17">
        <v>0.26413634736352</v>
      </c>
      <c r="I17" s="17">
        <v>0.145933726270971</v>
      </c>
      <c r="J17" s="29">
        <v>0.349959464851539</v>
      </c>
      <c r="K17" s="7"/>
    </row>
    <row r="18" spans="1:11">
      <c r="A18" s="15"/>
      <c r="B18" s="5"/>
      <c r="C18" s="5" t="s">
        <v>345</v>
      </c>
      <c r="D18" s="18">
        <v>41</v>
      </c>
      <c r="E18" s="19">
        <v>41</v>
      </c>
      <c r="F18" s="19">
        <v>41</v>
      </c>
      <c r="G18" s="19">
        <v>41</v>
      </c>
      <c r="H18" s="19">
        <v>41</v>
      </c>
      <c r="I18" s="19">
        <v>41</v>
      </c>
      <c r="J18" s="30">
        <v>41</v>
      </c>
      <c r="K18" s="7"/>
    </row>
    <row r="19" ht="36" spans="1:13">
      <c r="A19" s="15"/>
      <c r="B19" s="5" t="s">
        <v>245</v>
      </c>
      <c r="C19" s="15" t="s">
        <v>360</v>
      </c>
      <c r="D19" s="20">
        <v>0.247394409913333</v>
      </c>
      <c r="E19" s="21" t="s">
        <v>366</v>
      </c>
      <c r="F19" s="17">
        <v>0.19656256649734</v>
      </c>
      <c r="G19" s="17">
        <v>-0.101370903547321</v>
      </c>
      <c r="H19" s="17">
        <v>1</v>
      </c>
      <c r="I19" s="21" t="s">
        <v>373</v>
      </c>
      <c r="J19" s="31" t="s">
        <v>374</v>
      </c>
      <c r="K19" s="7"/>
      <c r="M19" s="1" t="s">
        <v>375</v>
      </c>
    </row>
    <row r="20" ht="24" spans="1:11">
      <c r="A20" s="15"/>
      <c r="B20" s="15"/>
      <c r="C20" s="15" t="s">
        <v>364</v>
      </c>
      <c r="D20" s="20">
        <v>0.059443666631683</v>
      </c>
      <c r="E20" s="17">
        <v>0.03381491356854</v>
      </c>
      <c r="F20" s="17">
        <v>0.109021109460206</v>
      </c>
      <c r="G20" s="17">
        <v>0.26413634736352</v>
      </c>
      <c r="H20" s="21"/>
      <c r="I20" s="17">
        <v>1.42725140023964e-6</v>
      </c>
      <c r="J20" s="29">
        <v>0.034319798105998</v>
      </c>
      <c r="K20" s="7"/>
    </row>
    <row r="21" spans="1:11">
      <c r="A21" s="15"/>
      <c r="B21" s="5"/>
      <c r="C21" s="5" t="s">
        <v>345</v>
      </c>
      <c r="D21" s="18">
        <v>41</v>
      </c>
      <c r="E21" s="19">
        <v>41</v>
      </c>
      <c r="F21" s="19">
        <v>41</v>
      </c>
      <c r="G21" s="19">
        <v>41</v>
      </c>
      <c r="H21" s="19">
        <v>41</v>
      </c>
      <c r="I21" s="19">
        <v>41</v>
      </c>
      <c r="J21" s="30">
        <v>41</v>
      </c>
      <c r="K21" s="7"/>
    </row>
    <row r="22" ht="36" spans="1:13">
      <c r="A22" s="15"/>
      <c r="B22" s="5" t="s">
        <v>323</v>
      </c>
      <c r="C22" s="15" t="s">
        <v>360</v>
      </c>
      <c r="D22" s="16" t="s">
        <v>361</v>
      </c>
      <c r="E22" s="21" t="s">
        <v>367</v>
      </c>
      <c r="F22" s="21" t="s">
        <v>370</v>
      </c>
      <c r="G22" s="17">
        <v>-0.168645162287119</v>
      </c>
      <c r="H22" s="21" t="s">
        <v>373</v>
      </c>
      <c r="I22" s="17">
        <v>1</v>
      </c>
      <c r="J22" s="29">
        <v>0.238377506003841</v>
      </c>
      <c r="K22" s="7"/>
      <c r="M22" s="1" t="s">
        <v>376</v>
      </c>
    </row>
    <row r="23" ht="24" customHeight="1" spans="1:11">
      <c r="A23" s="15"/>
      <c r="B23" s="15"/>
      <c r="C23" s="15" t="s">
        <v>364</v>
      </c>
      <c r="D23" s="20">
        <v>0.0252642641081558</v>
      </c>
      <c r="E23" s="17">
        <v>0.000204725169872751</v>
      </c>
      <c r="F23" s="17">
        <v>0.000501107194361245</v>
      </c>
      <c r="G23" s="17">
        <v>0.145933726270971</v>
      </c>
      <c r="H23" s="17">
        <v>1.42725140023964e-6</v>
      </c>
      <c r="I23" s="21"/>
      <c r="J23" s="29">
        <v>0.0666921645640847</v>
      </c>
      <c r="K23" s="7"/>
    </row>
    <row r="24" ht="24" customHeight="1" spans="1:11">
      <c r="A24" s="15"/>
      <c r="B24" s="5"/>
      <c r="C24" s="5" t="s">
        <v>345</v>
      </c>
      <c r="D24" s="18">
        <v>41</v>
      </c>
      <c r="E24" s="19">
        <v>41</v>
      </c>
      <c r="F24" s="19">
        <v>41</v>
      </c>
      <c r="G24" s="19">
        <v>41</v>
      </c>
      <c r="H24" s="19">
        <v>41</v>
      </c>
      <c r="I24" s="19">
        <v>41</v>
      </c>
      <c r="J24" s="30">
        <v>41</v>
      </c>
      <c r="K24" s="7"/>
    </row>
    <row r="25" ht="36" spans="1:11">
      <c r="A25" s="15"/>
      <c r="B25" s="5" t="s">
        <v>324</v>
      </c>
      <c r="C25" s="15" t="s">
        <v>360</v>
      </c>
      <c r="D25" s="16" t="s">
        <v>362</v>
      </c>
      <c r="E25" s="17">
        <v>0.0384619180309569</v>
      </c>
      <c r="F25" s="17">
        <v>0.064766215168113</v>
      </c>
      <c r="G25" s="17">
        <v>0.0620550402566405</v>
      </c>
      <c r="H25" s="21" t="s">
        <v>374</v>
      </c>
      <c r="I25" s="17">
        <v>0.238377506003841</v>
      </c>
      <c r="J25" s="29">
        <v>1</v>
      </c>
      <c r="K25" s="7"/>
    </row>
    <row r="26" ht="24" spans="1:11">
      <c r="A26" s="15"/>
      <c r="B26" s="15"/>
      <c r="C26" s="15" t="s">
        <v>364</v>
      </c>
      <c r="D26" s="20">
        <v>0.0470338205974366</v>
      </c>
      <c r="E26" s="17">
        <v>0.405650299494587</v>
      </c>
      <c r="F26" s="17">
        <v>0.34373013781585</v>
      </c>
      <c r="G26" s="17">
        <v>0.349959464851539</v>
      </c>
      <c r="H26" s="17">
        <v>0.034319798105998</v>
      </c>
      <c r="I26" s="17">
        <v>0.0666921645640847</v>
      </c>
      <c r="J26" s="31"/>
      <c r="K26" s="7"/>
    </row>
    <row r="27" spans="1:11">
      <c r="A27" s="22"/>
      <c r="B27" s="22"/>
      <c r="C27" s="22" t="s">
        <v>345</v>
      </c>
      <c r="D27" s="23">
        <v>41</v>
      </c>
      <c r="E27" s="24">
        <v>41</v>
      </c>
      <c r="F27" s="24">
        <v>41</v>
      </c>
      <c r="G27" s="24">
        <v>41</v>
      </c>
      <c r="H27" s="24">
        <v>41</v>
      </c>
      <c r="I27" s="24">
        <v>41</v>
      </c>
      <c r="J27" s="32">
        <v>41</v>
      </c>
      <c r="K27" s="7"/>
    </row>
    <row r="28" ht="31.8" customHeight="1" spans="1:11">
      <c r="A28" s="25" t="s">
        <v>377</v>
      </c>
      <c r="B28" s="25"/>
      <c r="C28" s="25"/>
      <c r="D28" s="26"/>
      <c r="E28" s="26"/>
      <c r="F28" s="26"/>
      <c r="G28" s="26"/>
      <c r="H28" s="26"/>
      <c r="I28" s="26"/>
      <c r="J28" s="26"/>
      <c r="K28" s="7"/>
    </row>
    <row r="29" ht="31.8" customHeight="1" spans="1:11">
      <c r="A29" s="26" t="s">
        <v>378</v>
      </c>
      <c r="B29" s="26"/>
      <c r="C29" s="26"/>
      <c r="D29" s="26"/>
      <c r="E29" s="26"/>
      <c r="F29" s="26"/>
      <c r="G29" s="26"/>
      <c r="H29" s="26"/>
      <c r="I29" s="26"/>
      <c r="J29" s="26"/>
      <c r="K29" s="7"/>
    </row>
  </sheetData>
  <mergeCells count="3">
    <mergeCell ref="A5:J5"/>
    <mergeCell ref="A28:C28"/>
    <mergeCell ref="A29:C29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9"/>
  <sheetViews>
    <sheetView tabSelected="1" workbookViewId="0">
      <selection activeCell="L13" sqref="L13"/>
    </sheetView>
  </sheetViews>
  <sheetFormatPr defaultColWidth="9" defaultRowHeight="12.75" outlineLevelCol="2"/>
  <cols>
    <col min="2" max="2" width="11.1047619047619" customWidth="1"/>
  </cols>
  <sheetData>
    <row r="3" ht="24" spans="2:3">
      <c r="B3" s="1" t="s">
        <v>379</v>
      </c>
      <c r="C3" s="2" t="s">
        <v>380</v>
      </c>
    </row>
    <row r="4" spans="2:3">
      <c r="B4" s="3" t="s">
        <v>6</v>
      </c>
      <c r="C4" s="4">
        <v>-0.265</v>
      </c>
    </row>
    <row r="5" spans="2:3">
      <c r="B5" s="5" t="s">
        <v>381</v>
      </c>
      <c r="C5" s="6">
        <v>0.0384619180309569</v>
      </c>
    </row>
    <row r="6" spans="2:3">
      <c r="B6" s="5" t="s">
        <v>382</v>
      </c>
      <c r="C6" s="6">
        <v>0.064766215168113</v>
      </c>
    </row>
    <row r="7" spans="2:3">
      <c r="B7" s="5" t="s">
        <v>383</v>
      </c>
      <c r="C7" s="6">
        <v>0.0620550402566405</v>
      </c>
    </row>
    <row r="8" spans="2:3">
      <c r="B8" s="5" t="s">
        <v>245</v>
      </c>
      <c r="C8" s="6">
        <v>0.287</v>
      </c>
    </row>
    <row r="9" spans="2:3">
      <c r="B9" s="5" t="s">
        <v>384</v>
      </c>
      <c r="C9" s="6">
        <v>0.238377506003841</v>
      </c>
    </row>
  </sheetData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Form responses</vt:lpstr>
      <vt:lpstr>HASIL ANALISIS NUTRISI</vt:lpstr>
      <vt:lpstr>training</vt:lpstr>
      <vt:lpstr>ANALISIS</vt:lpstr>
      <vt:lpstr>shapiro wilk</vt:lpstr>
      <vt:lpstr>skewness kurto</vt:lpstr>
      <vt:lpstr>Korelasi spearman</vt:lpstr>
      <vt:lpstr>Korelasi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anggoro</dc:creator>
  <cp:lastModifiedBy>Carissa Wityadarda</cp:lastModifiedBy>
  <dcterms:created xsi:type="dcterms:W3CDTF">2023-06-18T14:06:00Z</dcterms:created>
  <dcterms:modified xsi:type="dcterms:W3CDTF">2023-07-03T12:03:38Z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506D6976CD93450794D09F13FD469667</vt:lpwstr>
  </property>
  <property fmtid="{D5CDD505-2E9C-101B-9397-08002B2CF9AE}" pid="3" name="KSOProductBuildVer">
    <vt:lpwstr>1033-11.2.0.11537</vt:lpwstr>
  </property>
</Properties>
</file>