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elitian\aplikasi bvr\"/>
    </mc:Choice>
  </mc:AlternateContent>
  <bookViews>
    <workbookView xWindow="0" yWindow="0" windowWidth="20490" windowHeight="7395" activeTab="3"/>
  </bookViews>
  <sheets>
    <sheet name="Sheet1" sheetId="1" r:id="rId1"/>
    <sheet name="RAL" sheetId="4" r:id="rId2"/>
    <sheet name="spora" sheetId="5" r:id="rId3"/>
    <sheet name="Sheet2" sheetId="3" r:id="rId4"/>
    <sheet name="data spora" sheetId="2" r:id="rId5"/>
    <sheet name="Sheet6" sheetId="7" r:id="rId6"/>
    <sheet name="laju pert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4" i="2"/>
  <c r="G5" i="7"/>
  <c r="D5" i="7"/>
  <c r="G4" i="7"/>
  <c r="D4" i="7"/>
  <c r="G3" i="7"/>
  <c r="D3" i="7"/>
  <c r="N10" i="2"/>
  <c r="N11" i="2"/>
  <c r="N9" i="2"/>
  <c r="N4" i="2"/>
  <c r="N5" i="2"/>
  <c r="N3" i="2"/>
  <c r="L9" i="2"/>
  <c r="L10" i="2"/>
  <c r="M10" i="2" s="1"/>
  <c r="L11" i="2"/>
  <c r="L8" i="2"/>
  <c r="L3" i="2"/>
  <c r="L4" i="2"/>
  <c r="M4" i="2" s="1"/>
  <c r="L5" i="2"/>
  <c r="L2" i="2"/>
  <c r="M9" i="2"/>
  <c r="K10" i="5"/>
  <c r="K10" i="6"/>
  <c r="M10" i="6"/>
  <c r="M3" i="2"/>
  <c r="G20" i="6"/>
  <c r="E19" i="6"/>
  <c r="F18" i="6"/>
  <c r="E18" i="6"/>
  <c r="D18" i="6"/>
  <c r="C18" i="6"/>
  <c r="B18" i="6"/>
  <c r="F17" i="6"/>
  <c r="E17" i="6"/>
  <c r="D17" i="6"/>
  <c r="C17" i="6"/>
  <c r="B17" i="6"/>
  <c r="F16" i="6"/>
  <c r="E16" i="6"/>
  <c r="D16" i="6"/>
  <c r="C16" i="6"/>
  <c r="B16" i="6"/>
  <c r="P15" i="6"/>
  <c r="O15" i="6"/>
  <c r="N15" i="6"/>
  <c r="M15" i="6"/>
  <c r="F15" i="6"/>
  <c r="E15" i="6"/>
  <c r="D15" i="6"/>
  <c r="C15" i="6"/>
  <c r="B15" i="6"/>
  <c r="O14" i="6"/>
  <c r="N14" i="6"/>
  <c r="M14" i="6"/>
  <c r="N13" i="6"/>
  <c r="M13" i="6"/>
  <c r="M12" i="6"/>
  <c r="F9" i="6"/>
  <c r="F20" i="6" s="1"/>
  <c r="E9" i="6"/>
  <c r="E20" i="6" s="1"/>
  <c r="D9" i="6"/>
  <c r="D20" i="6" s="1"/>
  <c r="C9" i="6"/>
  <c r="C20" i="6" s="1"/>
  <c r="B9" i="6"/>
  <c r="B20" i="6" s="1"/>
  <c r="F8" i="6"/>
  <c r="F19" i="6" s="1"/>
  <c r="E8" i="6"/>
  <c r="D8" i="6"/>
  <c r="D19" i="6" s="1"/>
  <c r="C8" i="6"/>
  <c r="C19" i="6" s="1"/>
  <c r="B8" i="6"/>
  <c r="B19" i="6" s="1"/>
  <c r="H7" i="6"/>
  <c r="H18" i="6" s="1"/>
  <c r="G7" i="6"/>
  <c r="G18" i="6" s="1"/>
  <c r="H6" i="6"/>
  <c r="H17" i="6" s="1"/>
  <c r="G6" i="6"/>
  <c r="G17" i="6" s="1"/>
  <c r="K5" i="6"/>
  <c r="H5" i="6"/>
  <c r="H16" i="6" s="1"/>
  <c r="G5" i="6"/>
  <c r="G16" i="6" s="1"/>
  <c r="H4" i="6"/>
  <c r="H15" i="6" s="1"/>
  <c r="G4" i="6"/>
  <c r="G15" i="6" s="1"/>
  <c r="H9" i="6" l="1"/>
  <c r="H20" i="6" s="1"/>
  <c r="G8" i="6"/>
  <c r="G19" i="6" s="1"/>
  <c r="K8" i="6" s="1"/>
  <c r="L4" i="6" l="1"/>
  <c r="M4" i="6" s="1"/>
  <c r="L6" i="6"/>
  <c r="M6" i="6" l="1"/>
  <c r="L5" i="6"/>
  <c r="M5" i="6" s="1"/>
  <c r="N4" i="6" l="1"/>
  <c r="O4" i="6" s="1"/>
  <c r="G20" i="5" l="1"/>
  <c r="E19" i="5"/>
  <c r="F18" i="5"/>
  <c r="E18" i="5"/>
  <c r="D18" i="5"/>
  <c r="C18" i="5"/>
  <c r="B18" i="5"/>
  <c r="F17" i="5"/>
  <c r="E17" i="5"/>
  <c r="D17" i="5"/>
  <c r="C17" i="5"/>
  <c r="B17" i="5"/>
  <c r="F16" i="5"/>
  <c r="E16" i="5"/>
  <c r="D16" i="5"/>
  <c r="C16" i="5"/>
  <c r="B16" i="5"/>
  <c r="P15" i="5"/>
  <c r="O15" i="5"/>
  <c r="N15" i="5"/>
  <c r="M15" i="5"/>
  <c r="F15" i="5"/>
  <c r="E15" i="5"/>
  <c r="D15" i="5"/>
  <c r="C15" i="5"/>
  <c r="B15" i="5"/>
  <c r="O14" i="5"/>
  <c r="N14" i="5"/>
  <c r="M14" i="5"/>
  <c r="N13" i="5"/>
  <c r="M13" i="5"/>
  <c r="M12" i="5"/>
  <c r="F9" i="5"/>
  <c r="F20" i="5" s="1"/>
  <c r="E9" i="5"/>
  <c r="E20" i="5" s="1"/>
  <c r="D9" i="5"/>
  <c r="D20" i="5" s="1"/>
  <c r="C9" i="5"/>
  <c r="C20" i="5" s="1"/>
  <c r="B9" i="5"/>
  <c r="B20" i="5" s="1"/>
  <c r="F8" i="5"/>
  <c r="F19" i="5" s="1"/>
  <c r="E8" i="5"/>
  <c r="D8" i="5"/>
  <c r="D19" i="5" s="1"/>
  <c r="C8" i="5"/>
  <c r="C19" i="5" s="1"/>
  <c r="B8" i="5"/>
  <c r="B19" i="5" s="1"/>
  <c r="H7" i="5"/>
  <c r="H18" i="5" s="1"/>
  <c r="G7" i="5"/>
  <c r="G18" i="5" s="1"/>
  <c r="H6" i="5"/>
  <c r="H17" i="5" s="1"/>
  <c r="G6" i="5"/>
  <c r="G17" i="5" s="1"/>
  <c r="K5" i="5"/>
  <c r="H5" i="5"/>
  <c r="H16" i="5" s="1"/>
  <c r="G5" i="5"/>
  <c r="G16" i="5" s="1"/>
  <c r="H4" i="5"/>
  <c r="H15" i="5" s="1"/>
  <c r="G4" i="5"/>
  <c r="G15" i="5" s="1"/>
  <c r="G20" i="4"/>
  <c r="F19" i="4"/>
  <c r="D19" i="4"/>
  <c r="B19" i="4"/>
  <c r="G18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P15" i="4"/>
  <c r="O15" i="4"/>
  <c r="N15" i="4"/>
  <c r="M15" i="4"/>
  <c r="H15" i="4"/>
  <c r="F15" i="4"/>
  <c r="E15" i="4"/>
  <c r="D15" i="4"/>
  <c r="C15" i="4"/>
  <c r="B15" i="4"/>
  <c r="O14" i="4"/>
  <c r="N14" i="4"/>
  <c r="M14" i="4"/>
  <c r="N13" i="4"/>
  <c r="M13" i="4"/>
  <c r="M12" i="4"/>
  <c r="F9" i="4"/>
  <c r="F20" i="4" s="1"/>
  <c r="E9" i="4"/>
  <c r="E20" i="4" s="1"/>
  <c r="D9" i="4"/>
  <c r="D20" i="4" s="1"/>
  <c r="C9" i="4"/>
  <c r="C20" i="4" s="1"/>
  <c r="B9" i="4"/>
  <c r="H9" i="4" s="1"/>
  <c r="H20" i="4" s="1"/>
  <c r="F8" i="4"/>
  <c r="E8" i="4"/>
  <c r="E19" i="4" s="1"/>
  <c r="D8" i="4"/>
  <c r="C8" i="4"/>
  <c r="C19" i="4" s="1"/>
  <c r="B8" i="4"/>
  <c r="H7" i="4"/>
  <c r="H18" i="4" s="1"/>
  <c r="G7" i="4"/>
  <c r="H6" i="4"/>
  <c r="H17" i="4" s="1"/>
  <c r="G6" i="4"/>
  <c r="G17" i="4" s="1"/>
  <c r="K5" i="4"/>
  <c r="H5" i="4"/>
  <c r="H16" i="4" s="1"/>
  <c r="G5" i="4"/>
  <c r="G16" i="4" s="1"/>
  <c r="H4" i="4"/>
  <c r="G4" i="4"/>
  <c r="G15" i="4" s="1"/>
  <c r="H9" i="5" l="1"/>
  <c r="H20" i="5" s="1"/>
  <c r="G8" i="5"/>
  <c r="G19" i="5" s="1"/>
  <c r="K8" i="5" s="1"/>
  <c r="G8" i="4"/>
  <c r="G19" i="4" s="1"/>
  <c r="K8" i="4" s="1"/>
  <c r="B20" i="4"/>
  <c r="N82" i="1"/>
  <c r="N80" i="1"/>
  <c r="N71" i="1"/>
  <c r="N69" i="1"/>
  <c r="L4" i="5" l="1"/>
  <c r="M4" i="5" s="1"/>
  <c r="L6" i="5"/>
  <c r="L6" i="4"/>
  <c r="L4" i="4"/>
  <c r="M4" i="4" s="1"/>
  <c r="N61" i="1"/>
  <c r="N59" i="1"/>
  <c r="N51" i="1"/>
  <c r="N49" i="1"/>
  <c r="N41" i="1"/>
  <c r="N39" i="1"/>
  <c r="N32" i="1"/>
  <c r="N30" i="1"/>
  <c r="N23" i="1"/>
  <c r="N21" i="1"/>
  <c r="N13" i="1"/>
  <c r="N1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9" i="1"/>
  <c r="K8" i="1"/>
  <c r="M6" i="5" l="1"/>
  <c r="L5" i="5"/>
  <c r="M5" i="5" s="1"/>
  <c r="N4" i="4"/>
  <c r="O4" i="4" s="1"/>
  <c r="L5" i="4"/>
  <c r="M5" i="4" s="1"/>
  <c r="M6" i="4"/>
  <c r="H16" i="2"/>
  <c r="G16" i="2"/>
  <c r="H15" i="2"/>
  <c r="H14" i="2"/>
  <c r="T7" i="2"/>
  <c r="M10" i="5" l="1"/>
  <c r="N4" i="5"/>
  <c r="O4" i="5" s="1"/>
  <c r="M10" i="4"/>
  <c r="K10" i="4"/>
  <c r="M11" i="2"/>
  <c r="D31" i="2"/>
  <c r="D32" i="2" s="1"/>
  <c r="C31" i="2"/>
  <c r="C32" i="2" s="1"/>
  <c r="B31" i="2"/>
  <c r="B32" i="2" s="1"/>
  <c r="D42" i="2"/>
  <c r="C42" i="2"/>
  <c r="B42" i="2"/>
  <c r="B43" i="2" s="1"/>
  <c r="D43" i="2"/>
  <c r="D20" i="2"/>
  <c r="D21" i="2" s="1"/>
  <c r="D9" i="2"/>
  <c r="D10" i="2" s="1"/>
  <c r="C43" i="2"/>
  <c r="C20" i="2"/>
  <c r="C21" i="2" s="1"/>
  <c r="B20" i="2"/>
  <c r="B21" i="2" s="1"/>
  <c r="C9" i="2"/>
  <c r="C10" i="2" s="1"/>
  <c r="B9" i="2"/>
  <c r="B10" i="2" s="1"/>
  <c r="M5" i="2" l="1"/>
  <c r="B9" i="1"/>
  <c r="C29" i="1"/>
  <c r="B29" i="1"/>
  <c r="C28" i="1"/>
  <c r="B28" i="1"/>
  <c r="C19" i="1"/>
  <c r="C18" i="1"/>
  <c r="B18" i="1"/>
  <c r="B19" i="1" s="1"/>
  <c r="C8" i="1"/>
  <c r="C9" i="1" s="1"/>
  <c r="B8" i="1"/>
</calcChain>
</file>

<file path=xl/sharedStrings.xml><?xml version="1.0" encoding="utf-8"?>
<sst xmlns="http://schemas.openxmlformats.org/spreadsheetml/2006/main" count="389" uniqueCount="160">
  <si>
    <t>Kotak Besar</t>
  </si>
  <si>
    <t>kontrol</t>
  </si>
  <si>
    <t>ebi</t>
  </si>
  <si>
    <t>jangkrik</t>
  </si>
  <si>
    <t>Non</t>
  </si>
  <si>
    <t>Jumlah</t>
  </si>
  <si>
    <t>(t *d/(16*5))*10^6</t>
  </si>
  <si>
    <t>8.47*10^7</t>
  </si>
  <si>
    <t>4.37*10^7</t>
  </si>
  <si>
    <t>kotak besar</t>
  </si>
  <si>
    <t>3.415*10^7</t>
  </si>
  <si>
    <t>3.835*10^7</t>
  </si>
  <si>
    <t>Cair</t>
  </si>
  <si>
    <t>PDA</t>
  </si>
  <si>
    <t>3,135 *10^7</t>
  </si>
  <si>
    <t>3,095*10^7</t>
  </si>
  <si>
    <t>I</t>
  </si>
  <si>
    <t>II</t>
  </si>
  <si>
    <t>III</t>
  </si>
  <si>
    <t>Kontrol</t>
  </si>
  <si>
    <t xml:space="preserve"> </t>
  </si>
  <si>
    <t>5% Mimba</t>
  </si>
  <si>
    <t>10% Mimba</t>
  </si>
  <si>
    <t>15% mimba</t>
  </si>
  <si>
    <t>3,57 *10^7</t>
  </si>
  <si>
    <t>3,33*10^7</t>
  </si>
  <si>
    <t>3,08*10^7</t>
  </si>
  <si>
    <t>3,40*10^7</t>
  </si>
  <si>
    <t>2,89*10^7</t>
  </si>
  <si>
    <t>2,50 810^7</t>
  </si>
  <si>
    <t>2,73*10^7</t>
  </si>
  <si>
    <t>2,53*10^7</t>
  </si>
  <si>
    <t>5% mimba</t>
  </si>
  <si>
    <t>10% mimba</t>
  </si>
  <si>
    <t>Spora 10^7</t>
  </si>
  <si>
    <t>Rata2</t>
  </si>
  <si>
    <t>Pertumbuhan koloni</t>
  </si>
  <si>
    <t>rata2</t>
  </si>
  <si>
    <t>Kompatibilitas</t>
  </si>
  <si>
    <t>NR</t>
  </si>
  <si>
    <t>Nilai T dibagi kedalam kategori sebagai berikut:</t>
  </si>
  <si>
    <t>0-30 sangat toksik; 31-45 toksik; 46-60 kurang toksik; dan &gt; 60 tidak toksik atau kompatibel.</t>
  </si>
  <si>
    <t>HASIL</t>
  </si>
  <si>
    <t>Sr</t>
  </si>
  <si>
    <t>SP</t>
  </si>
  <si>
    <t>PK</t>
  </si>
  <si>
    <t xml:space="preserve">Data </t>
  </si>
  <si>
    <t>Hari ke-</t>
  </si>
  <si>
    <t>Bvr 10^6</t>
  </si>
  <si>
    <t>Bvr 10^7</t>
  </si>
  <si>
    <t>Ulangan</t>
  </si>
  <si>
    <t>Bvr  10^6+ Mimba 5%</t>
  </si>
  <si>
    <t>Bvr 10^6+ Mimba 10%</t>
  </si>
  <si>
    <t>Bvr 10^6+Mimba 15%</t>
  </si>
  <si>
    <t>Bvr 10^7+ Mimba 5%</t>
  </si>
  <si>
    <t>Bvr 10^7+Mimba 10%</t>
  </si>
  <si>
    <t>Bvr 10^7+ Mimba 15%</t>
  </si>
  <si>
    <t>A</t>
  </si>
  <si>
    <t>B</t>
  </si>
  <si>
    <t>C</t>
  </si>
  <si>
    <t>D</t>
  </si>
  <si>
    <t>E</t>
  </si>
  <si>
    <t>F</t>
  </si>
  <si>
    <t>G</t>
  </si>
  <si>
    <t>H</t>
  </si>
  <si>
    <t>Hari ke</t>
  </si>
  <si>
    <t>intcp</t>
  </si>
  <si>
    <t>Kematian</t>
  </si>
  <si>
    <t>y</t>
  </si>
  <si>
    <t>ax+bc</t>
  </si>
  <si>
    <t>21,833x-30,5</t>
  </si>
  <si>
    <t>x</t>
  </si>
  <si>
    <t>BVr 10^7</t>
  </si>
  <si>
    <t>intrcp</t>
  </si>
  <si>
    <t>22x-24,67</t>
  </si>
  <si>
    <t>Bvr10^6+ m5%</t>
  </si>
  <si>
    <t>intercpt</t>
  </si>
  <si>
    <t>20x-16,33</t>
  </si>
  <si>
    <t>Bvr 10^6+ m10%</t>
  </si>
  <si>
    <t>intrceot</t>
  </si>
  <si>
    <t>22,17x-17,5</t>
  </si>
  <si>
    <t>Bvr 10^6+ m15%</t>
  </si>
  <si>
    <t>intercept</t>
  </si>
  <si>
    <t>15,7x-14</t>
  </si>
  <si>
    <t>hari ke-</t>
  </si>
  <si>
    <t>kematian</t>
  </si>
  <si>
    <t>Bvr 10^7 +m 5%</t>
  </si>
  <si>
    <t>intercep</t>
  </si>
  <si>
    <t>19,17x-11,83</t>
  </si>
  <si>
    <t>Bvr 10^7+ m10%</t>
  </si>
  <si>
    <t>22,67x-16</t>
  </si>
  <si>
    <t>22,33x-11,67</t>
  </si>
  <si>
    <t>Bvr 10^7 + Mimba 5%</t>
  </si>
  <si>
    <t>Bvr 10^6 + Mimba 5%</t>
  </si>
  <si>
    <t>Bvr 10^6 + Mimba 10%</t>
  </si>
  <si>
    <t>Bvr 10^6 + Mimba1 5%</t>
  </si>
  <si>
    <t>Bvr 10^7 + Mimba 10%</t>
  </si>
  <si>
    <t>Bvr 10^7 + Mimba 15%</t>
  </si>
  <si>
    <t>Perlakuan</t>
  </si>
  <si>
    <t>Persentase kematian setelah hari ke-</t>
  </si>
  <si>
    <t>--</t>
  </si>
  <si>
    <t>PERL</t>
  </si>
  <si>
    <t>BLOK 1</t>
  </si>
  <si>
    <t>BLOK 2</t>
  </si>
  <si>
    <t>BLOK 3</t>
  </si>
  <si>
    <t>BLOK 4</t>
  </si>
  <si>
    <t>BLOK 5</t>
  </si>
  <si>
    <t>JML</t>
  </si>
  <si>
    <t>RERATA</t>
  </si>
  <si>
    <t>sbr krg</t>
  </si>
  <si>
    <t>db</t>
  </si>
  <si>
    <t>JK</t>
  </si>
  <si>
    <t>KT</t>
  </si>
  <si>
    <t>Fhit</t>
  </si>
  <si>
    <t>Ftabel5%</t>
  </si>
  <si>
    <t>Ftabel1%</t>
  </si>
  <si>
    <t>K</t>
  </si>
  <si>
    <t>perl</t>
  </si>
  <si>
    <t>galat</t>
  </si>
  <si>
    <t>J</t>
  </si>
  <si>
    <t>total</t>
  </si>
  <si>
    <t>FK</t>
  </si>
  <si>
    <t>Lsd1%</t>
  </si>
  <si>
    <t>LSD 5%</t>
  </si>
  <si>
    <t>KUADRAT</t>
  </si>
  <si>
    <t>a</t>
  </si>
  <si>
    <t>b</t>
  </si>
  <si>
    <t>ab</t>
  </si>
  <si>
    <t>Spore Dencity (x 10^7 CFU) 15th DAI</t>
  </si>
  <si>
    <t>Colony Growth  15th DAI (cm)</t>
  </si>
  <si>
    <t>Sporulation decrease (%)</t>
  </si>
  <si>
    <t>Growth Decrease (%)</t>
  </si>
  <si>
    <t>Control</t>
  </si>
  <si>
    <t>5% Neem Extr.</t>
  </si>
  <si>
    <t>10% Neem Extr.</t>
  </si>
  <si>
    <t>15% Neem Extr</t>
  </si>
  <si>
    <t>Treatment</t>
  </si>
  <si>
    <t>Bvr + 5% Neem Extr.</t>
  </si>
  <si>
    <t>Bvr +10% Neem Extr.</t>
  </si>
  <si>
    <t>Bvr +15% Neem Extr</t>
  </si>
  <si>
    <t xml:space="preserve">T </t>
  </si>
  <si>
    <t>Criteria</t>
  </si>
  <si>
    <t>Compatible</t>
  </si>
  <si>
    <t>Bvr 10^6 + neem extr. 5%</t>
  </si>
  <si>
    <t>Bvr 10^6 + neem extr. 10%</t>
  </si>
  <si>
    <t>Bvr 10^6 + neem extr. 15%</t>
  </si>
  <si>
    <t>Bvr 10^7 + neem extr. 5%</t>
  </si>
  <si>
    <t>Bvr 10^7 + neem extr. 10%</t>
  </si>
  <si>
    <t>Bvr 10^7 + neem extr. 15%</t>
  </si>
  <si>
    <t>Treatmen</t>
  </si>
  <si>
    <t>LT50 (Day)</t>
  </si>
  <si>
    <t>Linear Regression</t>
  </si>
  <si>
    <t>y = 22x - 24,67</t>
  </si>
  <si>
    <t>y = 20x - 16,33</t>
  </si>
  <si>
    <t>y = 23,33x - 14</t>
  </si>
  <si>
    <t>y = 19,17x - 11,83</t>
  </si>
  <si>
    <t>y = 22,67x - 16</t>
  </si>
  <si>
    <t>y = 22,33x - 11,67</t>
  </si>
  <si>
    <t>y = 22,17x - 17,5</t>
  </si>
  <si>
    <t>y = 21,83x - 30,5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</si>
</sst>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onsolas"/>
      <family val="3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charset val="1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9" fontId="0" fillId="0" borderId="0" xfId="0" applyNumberFormat="1"/>
    <xf numFmtId="9" fontId="0" fillId="0" borderId="0" xfId="1" applyFont="1"/>
    <xf numFmtId="0" fontId="0" fillId="0" borderId="0" xfId="0" applyAlignment="1">
      <alignment horizontal="center" vertical="center"/>
    </xf>
    <xf numFmtId="1" fontId="2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3" fillId="0" borderId="2" xfId="0" applyFont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164" fontId="6" fillId="0" borderId="0" xfId="0" applyNumberFormat="1" applyFont="1" applyBorder="1"/>
    <xf numFmtId="2" fontId="6" fillId="0" borderId="0" xfId="0" applyNumberFormat="1" applyFont="1" applyBorder="1"/>
    <xf numFmtId="0" fontId="0" fillId="0" borderId="0" xfId="0" applyBorder="1"/>
    <xf numFmtId="0" fontId="6" fillId="0" borderId="0" xfId="0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0" fontId="3" fillId="0" borderId="0" xfId="0" applyFont="1"/>
    <xf numFmtId="0" fontId="10" fillId="0" borderId="0" xfId="0" applyFont="1"/>
    <xf numFmtId="2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center"/>
    </xf>
    <xf numFmtId="2" fontId="10" fillId="0" borderId="0" xfId="0" applyNumberFormat="1" applyFont="1"/>
    <xf numFmtId="0" fontId="10" fillId="0" borderId="0" xfId="0" quotePrefix="1" applyFont="1" applyAlignment="1">
      <alignment horizontal="left"/>
    </xf>
    <xf numFmtId="9" fontId="10" fillId="0" borderId="0" xfId="1" applyFont="1" applyAlignment="1">
      <alignment horizontal="left"/>
    </xf>
    <xf numFmtId="0" fontId="10" fillId="0" borderId="2" xfId="0" applyFont="1" applyBorder="1"/>
    <xf numFmtId="2" fontId="10" fillId="0" borderId="2" xfId="0" applyNumberFormat="1" applyFont="1" applyBorder="1" applyAlignment="1">
      <alignment horizontal="right"/>
    </xf>
    <xf numFmtId="9" fontId="10" fillId="0" borderId="2" xfId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left"/>
    </xf>
    <xf numFmtId="2" fontId="10" fillId="0" borderId="2" xfId="0" applyNumberFormat="1" applyFont="1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9" fontId="0" fillId="0" borderId="0" xfId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0" xfId="0" quotePrefix="1" applyFont="1" applyAlignment="1">
      <alignment horizontal="center" vertical="center"/>
    </xf>
    <xf numFmtId="9" fontId="10" fillId="0" borderId="0" xfId="1" applyFont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9" fontId="10" fillId="0" borderId="0" xfId="1" applyFont="1" applyAlignment="1">
      <alignment horizontal="center"/>
    </xf>
    <xf numFmtId="9" fontId="10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Bvr 10^6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Sheet1!$N$4</c:f>
              <c:strCache>
                <c:ptCount val="1"/>
                <c:pt idx="0">
                  <c:v>Kematian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30.5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Sheet1!$M$5:$M$9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Sheet1!$N$5:$N$9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">
                  <c:v>61.666666666666664</c:v>
                </c:pt>
                <c:pt idx="4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53-421C-9514-A4B798891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929960"/>
        <c:axId val="479927664"/>
      </c:scatterChart>
      <c:valAx>
        <c:axId val="479929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Kematian</a:t>
                </a:r>
                <a:r>
                  <a:rPr lang="en-GB" sz="1200" b="1" baseline="0"/>
                  <a:t> Hari Ke-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79927664"/>
        <c:crosses val="autoZero"/>
        <c:crossBetween val="midCat"/>
      </c:valAx>
      <c:valAx>
        <c:axId val="4799276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Persentase</a:t>
                </a:r>
                <a:r>
                  <a:rPr lang="en-GB" sz="1200" b="1" baseline="0"/>
                  <a:t> Kematian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79929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Bvr 10^7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24.666666669999998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Sheet1!$M$16:$M$20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Sheet1!$N$16:$N$20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40</c:v>
                </c:pt>
                <c:pt idx="3">
                  <c:v>68.333333333333329</c:v>
                </c:pt>
                <c:pt idx="4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44-4EA0-804E-1DCA3D34C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956920"/>
        <c:axId val="479961840"/>
      </c:scatterChart>
      <c:valAx>
        <c:axId val="479956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Kematian</a:t>
                </a:r>
                <a:r>
                  <a:rPr lang="en-GB" baseline="0"/>
                  <a:t> Hari ke-</a:t>
                </a:r>
                <a:endParaRPr lang="id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79961840"/>
        <c:crosses val="autoZero"/>
        <c:crossBetween val="midCat"/>
      </c:valAx>
      <c:valAx>
        <c:axId val="479961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Persentase</a:t>
                </a:r>
                <a:r>
                  <a:rPr lang="en-GB" baseline="0"/>
                  <a:t> Kematian</a:t>
                </a:r>
                <a:endParaRPr lang="id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79956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10^6+Mimba 5%</a:t>
            </a:r>
          </a:p>
          <a:p>
            <a:pPr>
              <a:defRPr/>
            </a:pPr>
            <a:endParaRPr lang="id-ID"/>
          </a:p>
        </c:rich>
      </c:tx>
      <c:layout>
        <c:manualLayout>
          <c:xMode val="edge"/>
          <c:yMode val="edge"/>
          <c:x val="0.37884011373578302"/>
          <c:y val="3.8167501789549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8.0469816272965886E-2"/>
          <c:y val="0.19486111111111112"/>
          <c:w val="0.8965301837270340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16.333333329999999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Sheet1!$M$25:$M$29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Sheet1!$N$25:$N$29</c:f>
              <c:numCache>
                <c:formatCode>General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61.666666666666664</c:v>
                </c:pt>
                <c:pt idx="4">
                  <c:v>81.666666666666671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F-42CA-9C43-AAE6881BD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99224"/>
        <c:axId val="538199552"/>
      </c:scatterChart>
      <c:valAx>
        <c:axId val="538199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i="0" u="none" strike="noStrike" baseline="0">
                    <a:effectLst/>
                  </a:rPr>
                  <a:t>Kematian </a:t>
                </a:r>
                <a:r>
                  <a:rPr lang="en-GB" sz="1200" b="1"/>
                  <a:t>Hari  ke-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38199552"/>
        <c:crosses val="autoZero"/>
        <c:crossBetween val="midCat"/>
      </c:valAx>
      <c:valAx>
        <c:axId val="538199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Persentase</a:t>
                </a:r>
                <a:r>
                  <a:rPr lang="en-GB" sz="1200" b="1" baseline="0"/>
                  <a:t> Kematian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38199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Bvr</a:t>
            </a:r>
            <a:r>
              <a:rPr lang="en-GB" baseline="0"/>
              <a:t> 10^6+ Mimba 10%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17.5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Sheet1!$M$34:$M$38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Sheet1!$N$34:$N$38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66.666666666666671</c:v>
                </c:pt>
                <c:pt idx="3">
                  <c:v>75</c:v>
                </c:pt>
                <c:pt idx="4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2F-4030-A598-185F644EA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22608"/>
        <c:axId val="483823920"/>
      </c:scatterChart>
      <c:valAx>
        <c:axId val="48382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Kematian</a:t>
                </a:r>
                <a:r>
                  <a:rPr lang="en-GB" sz="1200" b="1" baseline="0"/>
                  <a:t> Hari Ke-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3823920"/>
        <c:crosses val="autoZero"/>
        <c:crossBetween val="midCat"/>
      </c:valAx>
      <c:valAx>
        <c:axId val="483823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Persentase</a:t>
                </a:r>
                <a:r>
                  <a:rPr lang="en-GB" sz="1200" b="1" baseline="0"/>
                  <a:t> Kematian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382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Bvr</a:t>
            </a:r>
            <a:r>
              <a:rPr lang="en-GB" baseline="0"/>
              <a:t> 10^6+ Mimba 15%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14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Sheet1!$M$44:$M$48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Sheet1!$N$44:$N$48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76.666666666666671</c:v>
                </c:pt>
                <c:pt idx="3">
                  <c:v>83.333333333333329</c:v>
                </c:pt>
                <c:pt idx="4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86-4DDB-AE2C-F9200674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78232"/>
        <c:axId val="538180200"/>
      </c:scatterChart>
      <c:valAx>
        <c:axId val="538178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Kematian</a:t>
                </a:r>
                <a:r>
                  <a:rPr lang="en-GB" sz="1200" b="1" baseline="0"/>
                  <a:t> Hari ke-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38180200"/>
        <c:crosses val="autoZero"/>
        <c:crossBetween val="midCat"/>
      </c:valAx>
      <c:valAx>
        <c:axId val="538180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Presentse</a:t>
                </a:r>
                <a:r>
                  <a:rPr lang="en-GB" baseline="0"/>
                  <a:t> Kematian</a:t>
                </a:r>
                <a:endParaRPr lang="id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38178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Bvr</a:t>
            </a:r>
            <a:r>
              <a:rPr lang="en-GB" baseline="0"/>
              <a:t> 10^7+mimba 5%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11.83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Sheet1!$M$54:$M$58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Sheet1!$N$54:$N$58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>
                  <c:v>50</c:v>
                </c:pt>
                <c:pt idx="3">
                  <c:v>60</c:v>
                </c:pt>
                <c:pt idx="4">
                  <c:v>83.333333333333329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4-4520-8E02-66B6CC6F2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615352"/>
        <c:axId val="484618304"/>
      </c:scatterChart>
      <c:valAx>
        <c:axId val="484615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Kematian</a:t>
                </a:r>
                <a:r>
                  <a:rPr lang="en-GB" sz="1200" b="1" baseline="0"/>
                  <a:t> Hari ke-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4618304"/>
        <c:crosses val="autoZero"/>
        <c:crossBetween val="midCat"/>
      </c:valAx>
      <c:valAx>
        <c:axId val="484618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Persentase</a:t>
                </a:r>
                <a:r>
                  <a:rPr lang="en-GB" sz="1200" b="1" baseline="0"/>
                  <a:t> Kematian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84615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Bvr</a:t>
            </a:r>
            <a:r>
              <a:rPr lang="id-ID" baseline="0"/>
              <a:t> 10^7+ mimba 10%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linear"/>
            <c:intercept val="-16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Sheet1!$M$64:$M$68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Sheet1!$N$64:$N$68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65</c:v>
                </c:pt>
                <c:pt idx="3">
                  <c:v>73.333333333333329</c:v>
                </c:pt>
                <c:pt idx="4">
                  <c:v>91.666666666666671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48-4AFB-9101-9360C74D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723216"/>
        <c:axId val="305720264"/>
      </c:scatterChart>
      <c:valAx>
        <c:axId val="30572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200" b="1"/>
                  <a:t>Kematian</a:t>
                </a:r>
                <a:r>
                  <a:rPr lang="id-ID" sz="1200" b="1" baseline="0"/>
                  <a:t> Hari ke-</a:t>
                </a:r>
                <a:endParaRPr lang="id-ID" sz="12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05720264"/>
        <c:crosses val="autoZero"/>
        <c:crossBetween val="midCat"/>
      </c:valAx>
      <c:valAx>
        <c:axId val="305720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200" b="1"/>
                  <a:t>Presentase Kematian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05723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Bvr</a:t>
            </a:r>
            <a:r>
              <a:rPr lang="id-ID" baseline="0"/>
              <a:t> 10^7+Mimba 15%</a:t>
            </a:r>
            <a:endParaRPr lang="id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intercept val="-11.67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Sheet1!$M$75:$M$79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Sheet1!$N$75:$N$79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>
                  <c:v>73.333333333333329</c:v>
                </c:pt>
                <c:pt idx="3">
                  <c:v>78.333333333333329</c:v>
                </c:pt>
                <c:pt idx="4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2A-449F-A8FB-83CAC21EB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410376"/>
        <c:axId val="342398240"/>
      </c:scatterChart>
      <c:valAx>
        <c:axId val="342410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200" b="1"/>
                  <a:t>Kematian Hari ke-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2398240"/>
        <c:crosses val="autoZero"/>
        <c:crossBetween val="midCat"/>
      </c:valAx>
      <c:valAx>
        <c:axId val="342398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sz="1200" b="1"/>
                  <a:t>Persenase</a:t>
                </a:r>
                <a:r>
                  <a:rPr lang="id-ID" sz="1200" b="1" baseline="0"/>
                  <a:t> Kematian</a:t>
                </a:r>
                <a:endParaRPr lang="id-ID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42410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1</xdr:row>
      <xdr:rowOff>23811</xdr:rowOff>
    </xdr:from>
    <xdr:to>
      <xdr:col>24</xdr:col>
      <xdr:colOff>57150</xdr:colOff>
      <xdr:row>18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19</xdr:row>
      <xdr:rowOff>38100</xdr:rowOff>
    </xdr:from>
    <xdr:to>
      <xdr:col>23</xdr:col>
      <xdr:colOff>333375</xdr:colOff>
      <xdr:row>34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504825</xdr:colOff>
      <xdr:row>36</xdr:row>
      <xdr:rowOff>152399</xdr:rowOff>
    </xdr:from>
    <xdr:to>
      <xdr:col>24</xdr:col>
      <xdr:colOff>95250</xdr:colOff>
      <xdr:row>56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152400</xdr:colOff>
      <xdr:row>59</xdr:row>
      <xdr:rowOff>33337</xdr:rowOff>
    </xdr:from>
    <xdr:to>
      <xdr:col>23</xdr:col>
      <xdr:colOff>457200</xdr:colOff>
      <xdr:row>73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73</xdr:row>
      <xdr:rowOff>185737</xdr:rowOff>
    </xdr:from>
    <xdr:to>
      <xdr:col>23</xdr:col>
      <xdr:colOff>314325</xdr:colOff>
      <xdr:row>88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342900</xdr:colOff>
      <xdr:row>88</xdr:row>
      <xdr:rowOff>128587</xdr:rowOff>
    </xdr:from>
    <xdr:to>
      <xdr:col>23</xdr:col>
      <xdr:colOff>38100</xdr:colOff>
      <xdr:row>103</xdr:row>
      <xdr:rowOff>14287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552450</xdr:colOff>
      <xdr:row>103</xdr:row>
      <xdr:rowOff>123825</xdr:rowOff>
    </xdr:from>
    <xdr:to>
      <xdr:col>22</xdr:col>
      <xdr:colOff>247650</xdr:colOff>
      <xdr:row>118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47625</xdr:colOff>
      <xdr:row>73</xdr:row>
      <xdr:rowOff>180975</xdr:rowOff>
    </xdr:from>
    <xdr:to>
      <xdr:col>10</xdr:col>
      <xdr:colOff>266700</xdr:colOff>
      <xdr:row>88</xdr:row>
      <xdr:rowOff>66675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/>
  </sheetViews>
  <sheetFormatPr defaultRowHeight="15" x14ac:dyDescent="0.25"/>
  <cols>
    <col min="1" max="1" width="19" customWidth="1"/>
    <col min="2" max="2" width="14.85546875" customWidth="1"/>
    <col min="3" max="3" width="11.42578125" customWidth="1"/>
    <col min="4" max="4" width="10.5703125" customWidth="1"/>
    <col min="6" max="6" width="22" customWidth="1"/>
    <col min="7" max="7" width="15.85546875" bestFit="1" customWidth="1"/>
  </cols>
  <sheetData>
    <row r="1" spans="1:15" x14ac:dyDescent="0.25">
      <c r="A1" s="5">
        <v>43299</v>
      </c>
      <c r="M1" s="26" t="s">
        <v>48</v>
      </c>
    </row>
    <row r="2" spans="1:15" x14ac:dyDescent="0.25">
      <c r="A2" t="s">
        <v>0</v>
      </c>
      <c r="B2" t="s">
        <v>12</v>
      </c>
      <c r="C2" t="s">
        <v>13</v>
      </c>
      <c r="F2" t="s">
        <v>4</v>
      </c>
      <c r="G2" s="1">
        <v>4.1100000000000003</v>
      </c>
      <c r="H2" s="2">
        <v>8.4700000000000006</v>
      </c>
      <c r="I2" s="1">
        <v>4.1100000000000003</v>
      </c>
      <c r="J2" s="2">
        <v>3.415</v>
      </c>
      <c r="M2" s="26"/>
    </row>
    <row r="3" spans="1:15" x14ac:dyDescent="0.25">
      <c r="A3">
        <v>1</v>
      </c>
      <c r="B3">
        <v>161</v>
      </c>
      <c r="C3">
        <v>160</v>
      </c>
      <c r="F3" t="s">
        <v>2</v>
      </c>
      <c r="G3">
        <v>7.79</v>
      </c>
      <c r="H3">
        <v>4.37</v>
      </c>
      <c r="I3">
        <v>7.79</v>
      </c>
      <c r="J3">
        <v>3.835</v>
      </c>
      <c r="M3" s="26"/>
    </row>
    <row r="4" spans="1:15" x14ac:dyDescent="0.25">
      <c r="A4">
        <v>2</v>
      </c>
      <c r="B4">
        <v>129</v>
      </c>
      <c r="C4">
        <v>131</v>
      </c>
      <c r="F4" t="s">
        <v>3</v>
      </c>
      <c r="G4">
        <v>7.43</v>
      </c>
      <c r="H4">
        <v>4.17</v>
      </c>
      <c r="I4">
        <v>4.17</v>
      </c>
      <c r="J4">
        <v>3.4449999999999998</v>
      </c>
      <c r="M4" t="s">
        <v>65</v>
      </c>
      <c r="N4" t="s">
        <v>67</v>
      </c>
    </row>
    <row r="5" spans="1:15" x14ac:dyDescent="0.25">
      <c r="A5">
        <v>3</v>
      </c>
      <c r="B5">
        <v>146</v>
      </c>
      <c r="C5">
        <v>108</v>
      </c>
      <c r="M5">
        <v>1</v>
      </c>
      <c r="N5">
        <v>0</v>
      </c>
    </row>
    <row r="6" spans="1:15" x14ac:dyDescent="0.25">
      <c r="A6">
        <v>4</v>
      </c>
      <c r="B6">
        <v>103</v>
      </c>
      <c r="C6">
        <v>112</v>
      </c>
      <c r="H6" s="27" t="s">
        <v>50</v>
      </c>
      <c r="I6" s="27"/>
      <c r="J6" s="27"/>
      <c r="M6">
        <v>2</v>
      </c>
      <c r="N6">
        <v>10</v>
      </c>
    </row>
    <row r="7" spans="1:15" x14ac:dyDescent="0.25">
      <c r="A7">
        <v>5</v>
      </c>
      <c r="B7">
        <v>88</v>
      </c>
      <c r="C7">
        <v>108</v>
      </c>
      <c r="F7" t="s">
        <v>46</v>
      </c>
      <c r="G7" t="s">
        <v>47</v>
      </c>
      <c r="H7">
        <v>1</v>
      </c>
      <c r="I7">
        <v>2</v>
      </c>
      <c r="J7">
        <v>3</v>
      </c>
      <c r="M7">
        <v>3</v>
      </c>
      <c r="N7">
        <v>20</v>
      </c>
    </row>
    <row r="8" spans="1:15" x14ac:dyDescent="0.25">
      <c r="A8" t="s">
        <v>5</v>
      </c>
      <c r="B8">
        <f>SUM(B3:B7)</f>
        <v>627</v>
      </c>
      <c r="C8">
        <f>SUM(C3:C7)</f>
        <v>619</v>
      </c>
      <c r="E8" t="s">
        <v>57</v>
      </c>
      <c r="F8" s="26" t="s">
        <v>48</v>
      </c>
      <c r="G8">
        <v>3</v>
      </c>
      <c r="H8">
        <v>25</v>
      </c>
      <c r="I8">
        <v>20</v>
      </c>
      <c r="J8">
        <v>15</v>
      </c>
      <c r="K8">
        <f>AVERAGE(H8:J8)</f>
        <v>20</v>
      </c>
      <c r="M8">
        <v>4</v>
      </c>
      <c r="N8" s="10">
        <v>61.666666666666664</v>
      </c>
    </row>
    <row r="9" spans="1:15" x14ac:dyDescent="0.25">
      <c r="A9" s="26" t="s">
        <v>6</v>
      </c>
      <c r="B9">
        <f>(B8*1/(80*0.25))</f>
        <v>31.35</v>
      </c>
      <c r="C9">
        <f>(C8*1/(80*0.25))</f>
        <v>30.95</v>
      </c>
      <c r="F9" s="26"/>
      <c r="G9">
        <v>4</v>
      </c>
      <c r="H9">
        <v>75</v>
      </c>
      <c r="I9">
        <v>55.000000000000007</v>
      </c>
      <c r="J9">
        <v>55.000000000000007</v>
      </c>
      <c r="K9">
        <f>AVERAGE(H9:J9)</f>
        <v>61.666666666666664</v>
      </c>
      <c r="M9">
        <v>5</v>
      </c>
      <c r="N9">
        <v>83.333333333333329</v>
      </c>
    </row>
    <row r="10" spans="1:15" x14ac:dyDescent="0.25">
      <c r="A10" s="26"/>
      <c r="B10" s="4" t="s">
        <v>14</v>
      </c>
      <c r="C10" s="4" t="s">
        <v>15</v>
      </c>
      <c r="D10" s="4"/>
      <c r="F10" s="26"/>
      <c r="G10">
        <v>5</v>
      </c>
      <c r="H10">
        <v>85</v>
      </c>
      <c r="I10">
        <v>85</v>
      </c>
      <c r="J10">
        <v>80</v>
      </c>
      <c r="K10">
        <f t="shared" ref="K10:K31" si="0">AVERAGE(H10:J10)</f>
        <v>83.333333333333329</v>
      </c>
      <c r="M10" t="s">
        <v>66</v>
      </c>
      <c r="N10">
        <f>INTERCEPT(N5:N9,M5:M9)</f>
        <v>-30.5</v>
      </c>
    </row>
    <row r="11" spans="1:15" x14ac:dyDescent="0.25">
      <c r="E11" t="s">
        <v>58</v>
      </c>
      <c r="F11" s="26" t="s">
        <v>49</v>
      </c>
      <c r="G11">
        <v>3</v>
      </c>
      <c r="H11">
        <v>50</v>
      </c>
      <c r="I11">
        <v>30</v>
      </c>
      <c r="J11">
        <v>40</v>
      </c>
      <c r="K11">
        <f t="shared" si="0"/>
        <v>40</v>
      </c>
      <c r="M11" t="s">
        <v>68</v>
      </c>
      <c r="N11" t="s">
        <v>69</v>
      </c>
    </row>
    <row r="12" spans="1:15" x14ac:dyDescent="0.25">
      <c r="A12" t="s">
        <v>0</v>
      </c>
      <c r="B12" t="s">
        <v>12</v>
      </c>
      <c r="C12" t="s">
        <v>13</v>
      </c>
      <c r="F12" s="26"/>
      <c r="G12">
        <v>4</v>
      </c>
      <c r="H12">
        <v>80</v>
      </c>
      <c r="I12">
        <v>55.000000000000007</v>
      </c>
      <c r="J12">
        <v>70</v>
      </c>
      <c r="K12">
        <f t="shared" si="0"/>
        <v>68.333333333333329</v>
      </c>
      <c r="M12">
        <v>50</v>
      </c>
      <c r="N12" t="s">
        <v>70</v>
      </c>
    </row>
    <row r="13" spans="1:15" x14ac:dyDescent="0.25">
      <c r="A13">
        <v>1</v>
      </c>
      <c r="B13">
        <v>289</v>
      </c>
      <c r="C13">
        <v>148</v>
      </c>
      <c r="F13" s="26"/>
      <c r="G13">
        <v>5</v>
      </c>
      <c r="H13">
        <v>85</v>
      </c>
      <c r="I13">
        <v>70</v>
      </c>
      <c r="J13">
        <v>95</v>
      </c>
      <c r="K13">
        <f t="shared" si="0"/>
        <v>83.333333333333329</v>
      </c>
      <c r="M13" t="s">
        <v>71</v>
      </c>
      <c r="N13" s="1">
        <f>(50+30.5)/21.833</f>
        <v>3.687079192048734</v>
      </c>
    </row>
    <row r="14" spans="1:15" x14ac:dyDescent="0.25">
      <c r="A14">
        <v>2</v>
      </c>
      <c r="B14">
        <v>389</v>
      </c>
      <c r="C14">
        <v>140</v>
      </c>
      <c r="E14" t="s">
        <v>59</v>
      </c>
      <c r="F14" s="26" t="s">
        <v>51</v>
      </c>
      <c r="G14">
        <v>3</v>
      </c>
      <c r="H14">
        <v>50</v>
      </c>
      <c r="I14">
        <v>40</v>
      </c>
      <c r="J14">
        <v>60</v>
      </c>
      <c r="K14">
        <f t="shared" si="0"/>
        <v>50</v>
      </c>
    </row>
    <row r="15" spans="1:15" x14ac:dyDescent="0.25">
      <c r="A15">
        <v>3</v>
      </c>
      <c r="B15">
        <v>376</v>
      </c>
      <c r="C15">
        <v>177</v>
      </c>
      <c r="F15" s="26"/>
      <c r="G15">
        <v>4</v>
      </c>
      <c r="H15" s="9">
        <v>65</v>
      </c>
      <c r="I15">
        <v>50</v>
      </c>
      <c r="J15">
        <v>70</v>
      </c>
      <c r="K15">
        <f t="shared" si="0"/>
        <v>61.666666666666664</v>
      </c>
      <c r="M15" t="s">
        <v>65</v>
      </c>
      <c r="N15" t="s">
        <v>67</v>
      </c>
      <c r="O15" t="s">
        <v>72</v>
      </c>
    </row>
    <row r="16" spans="1:15" x14ac:dyDescent="0.25">
      <c r="A16">
        <v>4</v>
      </c>
      <c r="B16">
        <v>304</v>
      </c>
      <c r="C16">
        <v>189</v>
      </c>
      <c r="F16" s="26"/>
      <c r="G16">
        <v>5</v>
      </c>
      <c r="H16" s="9">
        <v>80</v>
      </c>
      <c r="I16">
        <v>75</v>
      </c>
      <c r="J16">
        <v>90</v>
      </c>
      <c r="K16">
        <f t="shared" si="0"/>
        <v>81.666666666666671</v>
      </c>
      <c r="M16">
        <v>1</v>
      </c>
      <c r="N16">
        <v>0</v>
      </c>
    </row>
    <row r="17" spans="1:15" x14ac:dyDescent="0.25">
      <c r="A17">
        <v>5</v>
      </c>
      <c r="B17">
        <v>336</v>
      </c>
      <c r="C17">
        <v>219</v>
      </c>
      <c r="E17" t="s">
        <v>60</v>
      </c>
      <c r="F17" s="26" t="s">
        <v>52</v>
      </c>
      <c r="G17">
        <v>3</v>
      </c>
      <c r="H17">
        <v>70</v>
      </c>
      <c r="I17">
        <v>70</v>
      </c>
      <c r="J17">
        <v>60</v>
      </c>
      <c r="K17">
        <f t="shared" si="0"/>
        <v>66.666666666666671</v>
      </c>
      <c r="M17">
        <v>2</v>
      </c>
      <c r="N17">
        <v>15</v>
      </c>
    </row>
    <row r="18" spans="1:15" x14ac:dyDescent="0.25">
      <c r="A18" t="s">
        <v>5</v>
      </c>
      <c r="B18">
        <f>SUM(B13:B17)</f>
        <v>1694</v>
      </c>
      <c r="C18">
        <f>SUM(C13:C17)</f>
        <v>873</v>
      </c>
      <c r="F18" s="26"/>
      <c r="G18">
        <v>4</v>
      </c>
      <c r="H18">
        <v>75</v>
      </c>
      <c r="I18">
        <v>80</v>
      </c>
      <c r="J18">
        <v>70</v>
      </c>
      <c r="K18">
        <f t="shared" si="0"/>
        <v>75</v>
      </c>
      <c r="M18">
        <v>3</v>
      </c>
      <c r="N18">
        <v>40</v>
      </c>
    </row>
    <row r="19" spans="1:15" x14ac:dyDescent="0.25">
      <c r="A19" t="s">
        <v>6</v>
      </c>
      <c r="B19">
        <f>(B18*1/(80*0.25))</f>
        <v>84.7</v>
      </c>
      <c r="C19">
        <f>(C18*1/(80*0.25))</f>
        <v>43.65</v>
      </c>
      <c r="F19" s="26"/>
      <c r="G19">
        <v>5</v>
      </c>
      <c r="H19">
        <v>80</v>
      </c>
      <c r="I19">
        <v>90</v>
      </c>
      <c r="J19">
        <v>80</v>
      </c>
      <c r="K19">
        <f t="shared" si="0"/>
        <v>83.333333333333329</v>
      </c>
      <c r="M19">
        <v>4</v>
      </c>
      <c r="N19">
        <v>68.333333333333329</v>
      </c>
    </row>
    <row r="20" spans="1:15" x14ac:dyDescent="0.25">
      <c r="B20" t="s">
        <v>7</v>
      </c>
      <c r="C20" t="s">
        <v>8</v>
      </c>
      <c r="E20" t="s">
        <v>61</v>
      </c>
      <c r="F20" s="26" t="s">
        <v>53</v>
      </c>
      <c r="G20">
        <v>3</v>
      </c>
      <c r="H20">
        <v>80</v>
      </c>
      <c r="I20">
        <v>70</v>
      </c>
      <c r="J20">
        <v>80</v>
      </c>
      <c r="K20">
        <f t="shared" si="0"/>
        <v>76.666666666666671</v>
      </c>
      <c r="L20" t="s">
        <v>20</v>
      </c>
      <c r="M20">
        <v>5</v>
      </c>
      <c r="N20">
        <v>83.333333333333329</v>
      </c>
    </row>
    <row r="21" spans="1:15" x14ac:dyDescent="0.25">
      <c r="F21" s="26"/>
      <c r="G21">
        <v>4</v>
      </c>
      <c r="H21">
        <v>80</v>
      </c>
      <c r="I21">
        <v>80</v>
      </c>
      <c r="J21">
        <v>90</v>
      </c>
      <c r="K21">
        <f t="shared" si="0"/>
        <v>83.333333333333329</v>
      </c>
      <c r="M21" t="s">
        <v>73</v>
      </c>
      <c r="N21">
        <f>INTERCEPT(N16:N20,M16:M20)</f>
        <v>-24.666666666666671</v>
      </c>
    </row>
    <row r="22" spans="1:15" x14ac:dyDescent="0.25">
      <c r="A22" t="s">
        <v>9</v>
      </c>
      <c r="B22" t="s">
        <v>1</v>
      </c>
      <c r="C22" t="s">
        <v>2</v>
      </c>
      <c r="F22" s="26"/>
      <c r="G22">
        <v>5</v>
      </c>
      <c r="H22">
        <v>90</v>
      </c>
      <c r="I22">
        <v>90</v>
      </c>
      <c r="J22">
        <v>90</v>
      </c>
      <c r="K22">
        <f t="shared" si="0"/>
        <v>90</v>
      </c>
      <c r="M22">
        <v>50</v>
      </c>
      <c r="N22" t="s">
        <v>74</v>
      </c>
    </row>
    <row r="23" spans="1:15" x14ac:dyDescent="0.25">
      <c r="A23">
        <v>1</v>
      </c>
      <c r="B23">
        <v>147</v>
      </c>
      <c r="C23">
        <v>139</v>
      </c>
      <c r="E23" t="s">
        <v>62</v>
      </c>
      <c r="F23" s="26" t="s">
        <v>54</v>
      </c>
      <c r="G23">
        <v>3</v>
      </c>
      <c r="H23">
        <v>55</v>
      </c>
      <c r="I23">
        <v>45</v>
      </c>
      <c r="J23">
        <v>50</v>
      </c>
      <c r="K23">
        <f t="shared" si="0"/>
        <v>50</v>
      </c>
      <c r="M23" t="s">
        <v>71</v>
      </c>
      <c r="N23">
        <f>(50+24.67)/22</f>
        <v>3.394090909090909</v>
      </c>
    </row>
    <row r="24" spans="1:15" x14ac:dyDescent="0.25">
      <c r="A24">
        <v>2</v>
      </c>
      <c r="B24">
        <v>118</v>
      </c>
      <c r="C24">
        <v>135</v>
      </c>
      <c r="F24" s="26"/>
      <c r="G24">
        <v>4</v>
      </c>
      <c r="H24">
        <v>60</v>
      </c>
      <c r="I24">
        <v>60</v>
      </c>
      <c r="J24">
        <v>60</v>
      </c>
      <c r="K24">
        <f t="shared" si="0"/>
        <v>60</v>
      </c>
      <c r="M24" t="s">
        <v>65</v>
      </c>
      <c r="N24" t="s">
        <v>67</v>
      </c>
      <c r="O24" t="s">
        <v>75</v>
      </c>
    </row>
    <row r="25" spans="1:15" x14ac:dyDescent="0.25">
      <c r="A25">
        <v>3</v>
      </c>
      <c r="B25">
        <v>143</v>
      </c>
      <c r="C25">
        <v>156</v>
      </c>
      <c r="F25" s="26"/>
      <c r="G25">
        <v>5</v>
      </c>
      <c r="H25">
        <v>80</v>
      </c>
      <c r="I25">
        <v>80</v>
      </c>
      <c r="J25">
        <v>90</v>
      </c>
      <c r="K25">
        <f t="shared" si="0"/>
        <v>83.333333333333329</v>
      </c>
      <c r="M25">
        <v>1</v>
      </c>
      <c r="N25">
        <v>0</v>
      </c>
    </row>
    <row r="26" spans="1:15" x14ac:dyDescent="0.25">
      <c r="A26">
        <v>4</v>
      </c>
      <c r="B26">
        <v>145</v>
      </c>
      <c r="C26">
        <v>146</v>
      </c>
      <c r="E26" t="s">
        <v>63</v>
      </c>
      <c r="F26" s="26" t="s">
        <v>55</v>
      </c>
      <c r="G26">
        <v>3</v>
      </c>
      <c r="H26">
        <v>70</v>
      </c>
      <c r="I26">
        <v>60</v>
      </c>
      <c r="J26">
        <v>65</v>
      </c>
      <c r="K26">
        <f t="shared" si="0"/>
        <v>65</v>
      </c>
      <c r="M26">
        <v>2</v>
      </c>
      <c r="N26">
        <v>25</v>
      </c>
    </row>
    <row r="27" spans="1:15" x14ac:dyDescent="0.25">
      <c r="A27">
        <v>5</v>
      </c>
      <c r="B27">
        <v>130</v>
      </c>
      <c r="C27">
        <v>191</v>
      </c>
      <c r="F27" s="26"/>
      <c r="G27">
        <v>4</v>
      </c>
      <c r="H27">
        <v>75</v>
      </c>
      <c r="I27">
        <v>70</v>
      </c>
      <c r="J27">
        <v>75</v>
      </c>
      <c r="K27">
        <f t="shared" si="0"/>
        <v>73.333333333333329</v>
      </c>
      <c r="M27">
        <v>3</v>
      </c>
      <c r="N27">
        <v>50</v>
      </c>
    </row>
    <row r="28" spans="1:15" x14ac:dyDescent="0.25">
      <c r="A28" t="s">
        <v>5</v>
      </c>
      <c r="B28">
        <f>SUM(B23:B27)</f>
        <v>683</v>
      </c>
      <c r="C28">
        <f>SUM(C23:C27)</f>
        <v>767</v>
      </c>
      <c r="F28" s="26"/>
      <c r="G28">
        <v>5</v>
      </c>
      <c r="H28">
        <v>90</v>
      </c>
      <c r="I28">
        <v>90</v>
      </c>
      <c r="J28">
        <v>95</v>
      </c>
      <c r="K28">
        <f t="shared" si="0"/>
        <v>91.666666666666671</v>
      </c>
      <c r="M28">
        <v>4</v>
      </c>
      <c r="N28">
        <v>61.666666666666664</v>
      </c>
    </row>
    <row r="29" spans="1:15" x14ac:dyDescent="0.25">
      <c r="A29" t="s">
        <v>6</v>
      </c>
      <c r="B29">
        <f>(B28*1/(80*0.25))</f>
        <v>34.15</v>
      </c>
      <c r="C29">
        <f>(C28*1/(80*0.25))</f>
        <v>38.35</v>
      </c>
      <c r="E29" t="s">
        <v>64</v>
      </c>
      <c r="F29" s="26" t="s">
        <v>56</v>
      </c>
      <c r="G29">
        <v>3</v>
      </c>
      <c r="H29">
        <v>75</v>
      </c>
      <c r="I29">
        <v>70</v>
      </c>
      <c r="J29">
        <v>75</v>
      </c>
      <c r="K29">
        <f t="shared" si="0"/>
        <v>73.333333333333329</v>
      </c>
      <c r="M29">
        <v>5</v>
      </c>
      <c r="N29">
        <v>81.666666666666671</v>
      </c>
    </row>
    <row r="30" spans="1:15" x14ac:dyDescent="0.25">
      <c r="B30" t="s">
        <v>10</v>
      </c>
      <c r="C30" t="s">
        <v>11</v>
      </c>
      <c r="F30" s="26"/>
      <c r="G30">
        <v>4</v>
      </c>
      <c r="H30">
        <v>80</v>
      </c>
      <c r="I30">
        <v>75</v>
      </c>
      <c r="J30">
        <v>80</v>
      </c>
      <c r="K30">
        <f t="shared" si="0"/>
        <v>78.333333333333329</v>
      </c>
      <c r="M30" t="s">
        <v>76</v>
      </c>
      <c r="N30">
        <f>INTERCEPT(N25:N29,M25:M29)</f>
        <v>-16.333333333333336</v>
      </c>
    </row>
    <row r="31" spans="1:15" x14ac:dyDescent="0.25">
      <c r="F31" s="26"/>
      <c r="G31">
        <v>5</v>
      </c>
      <c r="H31">
        <v>90</v>
      </c>
      <c r="I31">
        <v>90</v>
      </c>
      <c r="J31">
        <v>90</v>
      </c>
      <c r="K31">
        <f t="shared" si="0"/>
        <v>90</v>
      </c>
      <c r="M31">
        <v>50</v>
      </c>
      <c r="N31" t="s">
        <v>77</v>
      </c>
    </row>
    <row r="32" spans="1:15" x14ac:dyDescent="0.25">
      <c r="M32" t="s">
        <v>71</v>
      </c>
      <c r="N32">
        <f>(50+16.33)/20</f>
        <v>3.3165</v>
      </c>
    </row>
    <row r="33" spans="13:15" x14ac:dyDescent="0.25">
      <c r="M33" t="s">
        <v>65</v>
      </c>
      <c r="N33" t="s">
        <v>67</v>
      </c>
      <c r="O33" t="s">
        <v>78</v>
      </c>
    </row>
    <row r="34" spans="13:15" x14ac:dyDescent="0.25">
      <c r="M34">
        <v>1</v>
      </c>
      <c r="N34">
        <v>0</v>
      </c>
    </row>
    <row r="35" spans="13:15" x14ac:dyDescent="0.25">
      <c r="M35">
        <v>2</v>
      </c>
      <c r="N35">
        <v>20</v>
      </c>
    </row>
    <row r="36" spans="13:15" x14ac:dyDescent="0.25">
      <c r="M36">
        <v>3</v>
      </c>
      <c r="N36">
        <v>66.666666666666671</v>
      </c>
    </row>
    <row r="37" spans="13:15" x14ac:dyDescent="0.25">
      <c r="M37">
        <v>4</v>
      </c>
      <c r="N37">
        <v>75</v>
      </c>
    </row>
    <row r="38" spans="13:15" x14ac:dyDescent="0.25">
      <c r="M38">
        <v>5</v>
      </c>
      <c r="N38">
        <v>83.333333333333329</v>
      </c>
    </row>
    <row r="39" spans="13:15" x14ac:dyDescent="0.25">
      <c r="M39" t="s">
        <v>79</v>
      </c>
      <c r="N39">
        <f>INTERCEPT(N34:N38,M34:M38)</f>
        <v>-17.5</v>
      </c>
    </row>
    <row r="40" spans="13:15" x14ac:dyDescent="0.25">
      <c r="M40">
        <v>50</v>
      </c>
      <c r="N40" t="s">
        <v>80</v>
      </c>
    </row>
    <row r="41" spans="13:15" x14ac:dyDescent="0.25">
      <c r="M41" t="s">
        <v>71</v>
      </c>
      <c r="N41">
        <f>(50+17.5)/22.17</f>
        <v>3.0446549391069011</v>
      </c>
    </row>
    <row r="43" spans="13:15" x14ac:dyDescent="0.25">
      <c r="M43" t="s">
        <v>47</v>
      </c>
      <c r="N43" t="s">
        <v>67</v>
      </c>
      <c r="O43" t="s">
        <v>81</v>
      </c>
    </row>
    <row r="44" spans="13:15" x14ac:dyDescent="0.25">
      <c r="M44">
        <v>1</v>
      </c>
      <c r="N44">
        <v>0</v>
      </c>
    </row>
    <row r="45" spans="13:15" x14ac:dyDescent="0.25">
      <c r="M45">
        <v>2</v>
      </c>
      <c r="N45">
        <v>30</v>
      </c>
    </row>
    <row r="46" spans="13:15" x14ac:dyDescent="0.25">
      <c r="M46">
        <v>3</v>
      </c>
      <c r="N46">
        <v>76.666666666666671</v>
      </c>
    </row>
    <row r="47" spans="13:15" x14ac:dyDescent="0.25">
      <c r="M47">
        <v>4</v>
      </c>
      <c r="N47">
        <v>83.333333333333329</v>
      </c>
    </row>
    <row r="48" spans="13:15" x14ac:dyDescent="0.25">
      <c r="M48">
        <v>5</v>
      </c>
      <c r="N48">
        <v>90</v>
      </c>
    </row>
    <row r="49" spans="13:15" x14ac:dyDescent="0.25">
      <c r="M49" t="s">
        <v>82</v>
      </c>
      <c r="N49">
        <f>INTERCEPT(N44:N48,M44:M48)</f>
        <v>-14</v>
      </c>
    </row>
    <row r="50" spans="13:15" x14ac:dyDescent="0.25">
      <c r="M50">
        <v>50</v>
      </c>
      <c r="N50" t="s">
        <v>83</v>
      </c>
    </row>
    <row r="51" spans="13:15" x14ac:dyDescent="0.25">
      <c r="M51" t="s">
        <v>71</v>
      </c>
      <c r="N51">
        <f>(50+14)/23.33</f>
        <v>2.7432490355765111</v>
      </c>
    </row>
    <row r="53" spans="13:15" x14ac:dyDescent="0.25">
      <c r="M53" t="s">
        <v>84</v>
      </c>
      <c r="N53" t="s">
        <v>85</v>
      </c>
      <c r="O53" t="s">
        <v>86</v>
      </c>
    </row>
    <row r="54" spans="13:15" x14ac:dyDescent="0.25">
      <c r="M54">
        <v>1</v>
      </c>
      <c r="N54">
        <v>0</v>
      </c>
    </row>
    <row r="55" spans="13:15" x14ac:dyDescent="0.25">
      <c r="M55">
        <v>2</v>
      </c>
      <c r="N55">
        <v>35</v>
      </c>
    </row>
    <row r="56" spans="13:15" x14ac:dyDescent="0.25">
      <c r="M56">
        <v>3</v>
      </c>
      <c r="N56">
        <v>50</v>
      </c>
    </row>
    <row r="57" spans="13:15" x14ac:dyDescent="0.25">
      <c r="M57">
        <v>4</v>
      </c>
      <c r="N57">
        <v>60</v>
      </c>
    </row>
    <row r="58" spans="13:15" x14ac:dyDescent="0.25">
      <c r="M58">
        <v>5</v>
      </c>
      <c r="N58">
        <v>83.333333333333329</v>
      </c>
    </row>
    <row r="59" spans="13:15" x14ac:dyDescent="0.25">
      <c r="M59" t="s">
        <v>87</v>
      </c>
      <c r="N59">
        <f>INTERCEPT(N54:N58,M54:M58)</f>
        <v>-11.833333333333336</v>
      </c>
    </row>
    <row r="60" spans="13:15" x14ac:dyDescent="0.25">
      <c r="M60">
        <v>50</v>
      </c>
      <c r="N60" t="s">
        <v>88</v>
      </c>
    </row>
    <row r="61" spans="13:15" x14ac:dyDescent="0.25">
      <c r="M61" t="s">
        <v>71</v>
      </c>
      <c r="N61">
        <f>(50+11.83)/19.17</f>
        <v>3.225352112676056</v>
      </c>
    </row>
    <row r="63" spans="13:15" x14ac:dyDescent="0.25">
      <c r="M63" t="s">
        <v>47</v>
      </c>
      <c r="N63" t="s">
        <v>67</v>
      </c>
      <c r="O63" t="s">
        <v>89</v>
      </c>
    </row>
    <row r="64" spans="13:15" x14ac:dyDescent="0.25">
      <c r="M64">
        <v>1</v>
      </c>
      <c r="N64">
        <v>0</v>
      </c>
    </row>
    <row r="65" spans="13:14" x14ac:dyDescent="0.25">
      <c r="M65">
        <v>2</v>
      </c>
      <c r="N65">
        <v>30</v>
      </c>
    </row>
    <row r="66" spans="13:14" x14ac:dyDescent="0.25">
      <c r="M66">
        <v>3</v>
      </c>
      <c r="N66">
        <v>65</v>
      </c>
    </row>
    <row r="67" spans="13:14" x14ac:dyDescent="0.25">
      <c r="M67">
        <v>4</v>
      </c>
      <c r="N67">
        <v>73.333333333333329</v>
      </c>
    </row>
    <row r="68" spans="13:14" x14ac:dyDescent="0.25">
      <c r="M68">
        <v>5</v>
      </c>
      <c r="N68">
        <v>91.666666666666671</v>
      </c>
    </row>
    <row r="69" spans="13:14" x14ac:dyDescent="0.25">
      <c r="M69" t="s">
        <v>73</v>
      </c>
      <c r="N69">
        <f>INTERCEPT(N64:N68,M64:M68)</f>
        <v>-16</v>
      </c>
    </row>
    <row r="70" spans="13:14" x14ac:dyDescent="0.25">
      <c r="M70">
        <v>50</v>
      </c>
      <c r="N70" t="s">
        <v>90</v>
      </c>
    </row>
    <row r="71" spans="13:14" x14ac:dyDescent="0.25">
      <c r="M71" t="s">
        <v>71</v>
      </c>
      <c r="N71">
        <f>(50+16)/22.67</f>
        <v>2.911336568151742</v>
      </c>
    </row>
    <row r="74" spans="13:14" x14ac:dyDescent="0.25">
      <c r="M74" t="s">
        <v>47</v>
      </c>
      <c r="N74" t="s">
        <v>67</v>
      </c>
    </row>
    <row r="75" spans="13:14" x14ac:dyDescent="0.25">
      <c r="M75">
        <v>1</v>
      </c>
      <c r="N75">
        <v>0</v>
      </c>
    </row>
    <row r="76" spans="13:14" x14ac:dyDescent="0.25">
      <c r="M76">
        <v>2</v>
      </c>
      <c r="N76">
        <v>35</v>
      </c>
    </row>
    <row r="77" spans="13:14" x14ac:dyDescent="0.25">
      <c r="M77">
        <v>3</v>
      </c>
      <c r="N77">
        <v>73.333333333333329</v>
      </c>
    </row>
    <row r="78" spans="13:14" x14ac:dyDescent="0.25">
      <c r="M78">
        <v>4</v>
      </c>
      <c r="N78">
        <v>78.333333333333329</v>
      </c>
    </row>
    <row r="79" spans="13:14" x14ac:dyDescent="0.25">
      <c r="M79">
        <v>5</v>
      </c>
      <c r="N79">
        <v>90</v>
      </c>
    </row>
    <row r="80" spans="13:14" x14ac:dyDescent="0.25">
      <c r="M80" t="s">
        <v>73</v>
      </c>
      <c r="N80">
        <f>INTERCEPT(N75:N79,M75:M79)</f>
        <v>-11.666666666666671</v>
      </c>
    </row>
    <row r="81" spans="13:14" x14ac:dyDescent="0.25">
      <c r="M81">
        <v>50</v>
      </c>
      <c r="N81" t="s">
        <v>91</v>
      </c>
    </row>
    <row r="82" spans="13:14" x14ac:dyDescent="0.25">
      <c r="M82" t="s">
        <v>71</v>
      </c>
      <c r="N82">
        <f>(50+11.67)/22.33</f>
        <v>2.761755485893417</v>
      </c>
    </row>
  </sheetData>
  <mergeCells count="11">
    <mergeCell ref="F29:F31"/>
    <mergeCell ref="A9:A10"/>
    <mergeCell ref="F8:F10"/>
    <mergeCell ref="F11:F13"/>
    <mergeCell ref="H6:J6"/>
    <mergeCell ref="F14:F16"/>
    <mergeCell ref="M1:M3"/>
    <mergeCell ref="F17:F19"/>
    <mergeCell ref="F20:F22"/>
    <mergeCell ref="F23:F25"/>
    <mergeCell ref="F26:F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workbookViewId="0">
      <selection activeCell="K21" sqref="K21"/>
    </sheetView>
  </sheetViews>
  <sheetFormatPr defaultRowHeight="15" x14ac:dyDescent="0.25"/>
  <sheetData>
    <row r="3" spans="1:17" x14ac:dyDescent="0.25">
      <c r="A3" t="s">
        <v>101</v>
      </c>
      <c r="B3" t="s">
        <v>102</v>
      </c>
      <c r="C3" t="s">
        <v>103</v>
      </c>
      <c r="D3" t="s">
        <v>104</v>
      </c>
      <c r="E3" t="s">
        <v>105</v>
      </c>
      <c r="F3" t="s">
        <v>106</v>
      </c>
      <c r="G3" t="s">
        <v>107</v>
      </c>
      <c r="H3" t="s">
        <v>108</v>
      </c>
      <c r="J3" s="29" t="s">
        <v>109</v>
      </c>
      <c r="K3" s="30" t="s">
        <v>110</v>
      </c>
      <c r="L3" s="30" t="s">
        <v>111</v>
      </c>
      <c r="M3" s="30" t="s">
        <v>112</v>
      </c>
      <c r="N3" s="30" t="s">
        <v>113</v>
      </c>
      <c r="O3" s="29"/>
      <c r="P3" s="30" t="s">
        <v>114</v>
      </c>
      <c r="Q3" s="30" t="s">
        <v>115</v>
      </c>
    </row>
    <row r="4" spans="1:17" x14ac:dyDescent="0.25">
      <c r="A4" t="s">
        <v>116</v>
      </c>
      <c r="B4">
        <v>20</v>
      </c>
      <c r="C4">
        <v>22</v>
      </c>
      <c r="D4">
        <v>23</v>
      </c>
      <c r="E4">
        <v>22</v>
      </c>
      <c r="F4">
        <v>23</v>
      </c>
      <c r="G4">
        <f>SUM(B4:F4)</f>
        <v>110</v>
      </c>
      <c r="H4">
        <f>AVERAGE(B4:F4)</f>
        <v>22</v>
      </c>
      <c r="J4" s="29" t="s">
        <v>117</v>
      </c>
      <c r="K4" s="29">
        <v>3</v>
      </c>
      <c r="L4" s="29">
        <f>SUM(G15:G18)/5-K8</f>
        <v>4.9499999999989086</v>
      </c>
      <c r="M4" s="31">
        <f>L4/K4</f>
        <v>1.6499999999996362</v>
      </c>
      <c r="N4" s="32">
        <f>M4/M5</f>
        <v>1.1186440677963463</v>
      </c>
      <c r="O4" s="29" t="str">
        <f>IF(N4&lt;=P4,"ns",IF(N4&lt;=Q4,"*","**"))</f>
        <v>ns</v>
      </c>
      <c r="P4" s="33">
        <v>3.01</v>
      </c>
      <c r="Q4" s="33">
        <v>4.7699999999999996</v>
      </c>
    </row>
    <row r="5" spans="1:17" x14ac:dyDescent="0.25">
      <c r="A5" t="s">
        <v>58</v>
      </c>
      <c r="B5">
        <v>22</v>
      </c>
      <c r="C5">
        <v>21</v>
      </c>
      <c r="D5">
        <v>23</v>
      </c>
      <c r="E5">
        <v>23</v>
      </c>
      <c r="F5">
        <v>24</v>
      </c>
      <c r="G5">
        <f t="shared" ref="G5:G8" si="0">SUM(B5:F5)</f>
        <v>113</v>
      </c>
      <c r="H5">
        <f t="shared" ref="H5:H9" si="1">AVERAGE(B5:F5)</f>
        <v>22.6</v>
      </c>
      <c r="J5" s="29" t="s">
        <v>118</v>
      </c>
      <c r="K5" s="29">
        <f>K6-K4</f>
        <v>16</v>
      </c>
      <c r="L5" s="29">
        <f>L6-L4</f>
        <v>23.600000000000364</v>
      </c>
      <c r="M5" s="31">
        <f t="shared" ref="M5:M6" si="2">L5/K5</f>
        <v>1.4750000000000227</v>
      </c>
      <c r="N5" s="29"/>
      <c r="O5" s="29"/>
      <c r="Q5" s="29"/>
    </row>
    <row r="6" spans="1:17" x14ac:dyDescent="0.25">
      <c r="A6" t="s">
        <v>119</v>
      </c>
      <c r="B6">
        <v>21</v>
      </c>
      <c r="C6">
        <v>23</v>
      </c>
      <c r="D6">
        <v>24</v>
      </c>
      <c r="E6">
        <v>24</v>
      </c>
      <c r="F6">
        <v>25</v>
      </c>
      <c r="G6">
        <f t="shared" si="0"/>
        <v>117</v>
      </c>
      <c r="H6">
        <f t="shared" si="1"/>
        <v>23.4</v>
      </c>
      <c r="J6" s="29" t="s">
        <v>120</v>
      </c>
      <c r="K6" s="29">
        <v>19</v>
      </c>
      <c r="L6" s="29">
        <f>SUM(B15:F18)-K8</f>
        <v>28.549999999999272</v>
      </c>
      <c r="M6" s="31">
        <f t="shared" si="2"/>
        <v>1.5026315789473301</v>
      </c>
      <c r="N6" s="29"/>
      <c r="O6" s="29"/>
      <c r="P6" s="29"/>
      <c r="Q6" s="29"/>
    </row>
    <row r="7" spans="1:17" x14ac:dyDescent="0.25">
      <c r="A7" t="s">
        <v>61</v>
      </c>
      <c r="B7">
        <v>23</v>
      </c>
      <c r="C7">
        <v>22</v>
      </c>
      <c r="D7">
        <v>22</v>
      </c>
      <c r="E7">
        <v>22</v>
      </c>
      <c r="F7">
        <v>24</v>
      </c>
      <c r="G7">
        <f t="shared" si="0"/>
        <v>113</v>
      </c>
      <c r="H7">
        <f t="shared" si="1"/>
        <v>22.6</v>
      </c>
    </row>
    <row r="8" spans="1:17" x14ac:dyDescent="0.25">
      <c r="A8" t="s">
        <v>107</v>
      </c>
      <c r="B8">
        <f>SUM(B4:B7)</f>
        <v>86</v>
      </c>
      <c r="C8">
        <f t="shared" ref="C8:F8" si="3">SUM(C4:C7)</f>
        <v>88</v>
      </c>
      <c r="D8">
        <f t="shared" si="3"/>
        <v>92</v>
      </c>
      <c r="E8">
        <f t="shared" si="3"/>
        <v>91</v>
      </c>
      <c r="F8">
        <f t="shared" si="3"/>
        <v>96</v>
      </c>
      <c r="G8">
        <f t="shared" si="0"/>
        <v>453</v>
      </c>
      <c r="J8" s="34" t="s">
        <v>121</v>
      </c>
      <c r="K8">
        <f>G19/20</f>
        <v>10260.450000000001</v>
      </c>
    </row>
    <row r="9" spans="1:17" x14ac:dyDescent="0.25">
      <c r="A9" t="s">
        <v>108</v>
      </c>
      <c r="B9">
        <f>AVERAGE(B4:B7)</f>
        <v>21.5</v>
      </c>
      <c r="C9">
        <f t="shared" ref="C9:F9" si="4">AVERAGE(C4:C7)</f>
        <v>22</v>
      </c>
      <c r="D9">
        <f t="shared" si="4"/>
        <v>23</v>
      </c>
      <c r="E9">
        <f t="shared" si="4"/>
        <v>22.75</v>
      </c>
      <c r="F9">
        <f t="shared" si="4"/>
        <v>24</v>
      </c>
      <c r="H9">
        <f t="shared" si="1"/>
        <v>22.65</v>
      </c>
      <c r="K9">
        <v>2.12</v>
      </c>
      <c r="L9" s="34" t="s">
        <v>122</v>
      </c>
      <c r="M9">
        <v>2.9209999999999998</v>
      </c>
    </row>
    <row r="10" spans="1:17" x14ac:dyDescent="0.25">
      <c r="J10" s="34" t="s">
        <v>123</v>
      </c>
      <c r="K10" s="1">
        <f>K9*SQRT((2*M5)/5)</f>
        <v>1.6284028985481576</v>
      </c>
      <c r="M10" s="35">
        <f>M9*SQRT((2*M5)/5)</f>
        <v>2.2436626729524374</v>
      </c>
    </row>
    <row r="12" spans="1:17" x14ac:dyDescent="0.25">
      <c r="K12" t="s">
        <v>116</v>
      </c>
      <c r="L12" s="10">
        <v>23.4</v>
      </c>
      <c r="M12" s="36">
        <f>$L$12-L12</f>
        <v>0</v>
      </c>
      <c r="Q12" s="35"/>
    </row>
    <row r="13" spans="1:17" x14ac:dyDescent="0.25">
      <c r="A13" t="s">
        <v>124</v>
      </c>
      <c r="K13" t="s">
        <v>58</v>
      </c>
      <c r="L13" s="10">
        <v>22.6</v>
      </c>
      <c r="M13" s="36">
        <f t="shared" ref="M13:M15" si="5">$L$12-L13</f>
        <v>0.79999999999999716</v>
      </c>
      <c r="N13" s="37">
        <f>$L$13-L13</f>
        <v>0</v>
      </c>
      <c r="Q13" s="35"/>
    </row>
    <row r="14" spans="1:17" x14ac:dyDescent="0.25">
      <c r="A14" t="s">
        <v>101</v>
      </c>
      <c r="B14" t="s">
        <v>102</v>
      </c>
      <c r="C14" t="s">
        <v>103</v>
      </c>
      <c r="D14" t="s">
        <v>104</v>
      </c>
      <c r="E14" t="s">
        <v>105</v>
      </c>
      <c r="F14" t="s">
        <v>106</v>
      </c>
      <c r="G14" t="s">
        <v>107</v>
      </c>
      <c r="H14" t="s">
        <v>108</v>
      </c>
      <c r="K14" t="s">
        <v>119</v>
      </c>
      <c r="L14" s="10">
        <v>22.6</v>
      </c>
      <c r="M14" s="36">
        <f t="shared" si="5"/>
        <v>0.79999999999999716</v>
      </c>
      <c r="N14" s="37">
        <f t="shared" ref="N14:N15" si="6">$L$13-L14</f>
        <v>0</v>
      </c>
      <c r="O14" s="37">
        <f>$L$14-L14</f>
        <v>0</v>
      </c>
      <c r="Q14" s="35"/>
    </row>
    <row r="15" spans="1:17" x14ac:dyDescent="0.25">
      <c r="A15" t="s">
        <v>116</v>
      </c>
      <c r="B15">
        <f>B4^2</f>
        <v>400</v>
      </c>
      <c r="C15">
        <f t="shared" ref="C15:H15" si="7">C4^2</f>
        <v>484</v>
      </c>
      <c r="D15">
        <f t="shared" si="7"/>
        <v>529</v>
      </c>
      <c r="E15">
        <f t="shared" si="7"/>
        <v>484</v>
      </c>
      <c r="F15">
        <f t="shared" si="7"/>
        <v>529</v>
      </c>
      <c r="G15">
        <f t="shared" si="7"/>
        <v>12100</v>
      </c>
      <c r="H15">
        <f t="shared" si="7"/>
        <v>484</v>
      </c>
      <c r="K15" t="s">
        <v>61</v>
      </c>
      <c r="L15" s="10">
        <v>22</v>
      </c>
      <c r="M15" s="38">
        <f t="shared" si="5"/>
        <v>1.3999999999999986</v>
      </c>
      <c r="N15">
        <f t="shared" si="6"/>
        <v>0.60000000000000142</v>
      </c>
      <c r="O15">
        <f>$L$14-L15</f>
        <v>0.60000000000000142</v>
      </c>
      <c r="P15" s="37">
        <f>$L$15-L15</f>
        <v>0</v>
      </c>
      <c r="Q15" s="39"/>
    </row>
    <row r="16" spans="1:17" x14ac:dyDescent="0.25">
      <c r="A16" t="s">
        <v>58</v>
      </c>
      <c r="B16">
        <f t="shared" ref="B16:H20" si="8">B5^2</f>
        <v>484</v>
      </c>
      <c r="C16">
        <f t="shared" si="8"/>
        <v>441</v>
      </c>
      <c r="D16">
        <f t="shared" si="8"/>
        <v>529</v>
      </c>
      <c r="E16">
        <f t="shared" si="8"/>
        <v>529</v>
      </c>
      <c r="F16">
        <f t="shared" si="8"/>
        <v>576</v>
      </c>
      <c r="G16">
        <f t="shared" si="8"/>
        <v>12769</v>
      </c>
      <c r="H16">
        <f t="shared" si="8"/>
        <v>510.76000000000005</v>
      </c>
    </row>
    <row r="17" spans="1:13" x14ac:dyDescent="0.25">
      <c r="A17" t="s">
        <v>119</v>
      </c>
      <c r="B17">
        <f t="shared" si="8"/>
        <v>441</v>
      </c>
      <c r="C17">
        <f t="shared" si="8"/>
        <v>529</v>
      </c>
      <c r="D17">
        <f t="shared" si="8"/>
        <v>576</v>
      </c>
      <c r="E17">
        <f t="shared" si="8"/>
        <v>576</v>
      </c>
      <c r="F17">
        <f t="shared" si="8"/>
        <v>625</v>
      </c>
      <c r="G17">
        <f t="shared" si="8"/>
        <v>13689</v>
      </c>
      <c r="H17">
        <f t="shared" si="8"/>
        <v>547.55999999999995</v>
      </c>
    </row>
    <row r="18" spans="1:13" x14ac:dyDescent="0.25">
      <c r="A18" t="s">
        <v>61</v>
      </c>
      <c r="B18">
        <f t="shared" si="8"/>
        <v>529</v>
      </c>
      <c r="C18">
        <f t="shared" si="8"/>
        <v>484</v>
      </c>
      <c r="D18">
        <f t="shared" si="8"/>
        <v>484</v>
      </c>
      <c r="E18">
        <f t="shared" si="8"/>
        <v>484</v>
      </c>
      <c r="F18">
        <f t="shared" si="8"/>
        <v>576</v>
      </c>
      <c r="G18">
        <f t="shared" si="8"/>
        <v>12769</v>
      </c>
      <c r="H18">
        <f t="shared" si="8"/>
        <v>510.76000000000005</v>
      </c>
      <c r="K18" t="s">
        <v>116</v>
      </c>
      <c r="L18" s="10">
        <v>22</v>
      </c>
      <c r="M18" t="s">
        <v>125</v>
      </c>
    </row>
    <row r="19" spans="1:13" x14ac:dyDescent="0.25">
      <c r="A19" t="s">
        <v>107</v>
      </c>
      <c r="B19">
        <f t="shared" si="8"/>
        <v>7396</v>
      </c>
      <c r="C19">
        <f t="shared" si="8"/>
        <v>7744</v>
      </c>
      <c r="D19">
        <f t="shared" si="8"/>
        <v>8464</v>
      </c>
      <c r="E19">
        <f t="shared" si="8"/>
        <v>8281</v>
      </c>
      <c r="F19">
        <f t="shared" si="8"/>
        <v>9216</v>
      </c>
      <c r="G19">
        <f t="shared" si="8"/>
        <v>205209</v>
      </c>
      <c r="K19" t="s">
        <v>58</v>
      </c>
      <c r="L19" s="10">
        <v>22.6</v>
      </c>
      <c r="M19" t="s">
        <v>125</v>
      </c>
    </row>
    <row r="20" spans="1:13" x14ac:dyDescent="0.25">
      <c r="A20" t="s">
        <v>108</v>
      </c>
      <c r="B20">
        <f t="shared" si="8"/>
        <v>462.25</v>
      </c>
      <c r="C20">
        <f t="shared" si="8"/>
        <v>484</v>
      </c>
      <c r="D20">
        <f t="shared" si="8"/>
        <v>529</v>
      </c>
      <c r="E20">
        <f t="shared" si="8"/>
        <v>517.5625</v>
      </c>
      <c r="F20">
        <f t="shared" si="8"/>
        <v>576</v>
      </c>
      <c r="G20">
        <f t="shared" si="8"/>
        <v>0</v>
      </c>
      <c r="H20">
        <f t="shared" si="8"/>
        <v>513.02249999999992</v>
      </c>
      <c r="K20" t="s">
        <v>119</v>
      </c>
      <c r="L20" s="10">
        <v>23.4</v>
      </c>
      <c r="M20" t="s">
        <v>125</v>
      </c>
    </row>
    <row r="21" spans="1:13" x14ac:dyDescent="0.25">
      <c r="K21" t="s">
        <v>61</v>
      </c>
      <c r="L21" s="10">
        <v>22.6</v>
      </c>
      <c r="M2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1"/>
  <sheetViews>
    <sheetView workbookViewId="0">
      <selection activeCell="R16" sqref="R16"/>
    </sheetView>
  </sheetViews>
  <sheetFormatPr defaultRowHeight="15" x14ac:dyDescent="0.25"/>
  <cols>
    <col min="1" max="1" width="12.7109375" customWidth="1"/>
    <col min="11" max="11" width="11.5703125" customWidth="1"/>
  </cols>
  <sheetData>
    <row r="3" spans="1:18" x14ac:dyDescent="0.25">
      <c r="A3" t="s">
        <v>101</v>
      </c>
      <c r="B3" t="s">
        <v>102</v>
      </c>
      <c r="C3" t="s">
        <v>103</v>
      </c>
      <c r="D3" t="s">
        <v>104</v>
      </c>
      <c r="E3" t="s">
        <v>105</v>
      </c>
      <c r="F3" t="s">
        <v>106</v>
      </c>
      <c r="G3" t="s">
        <v>107</v>
      </c>
      <c r="H3" t="s">
        <v>108</v>
      </c>
      <c r="J3" s="29" t="s">
        <v>109</v>
      </c>
      <c r="K3" s="30" t="s">
        <v>110</v>
      </c>
      <c r="L3" s="30" t="s">
        <v>111</v>
      </c>
      <c r="M3" s="30" t="s">
        <v>112</v>
      </c>
      <c r="N3" s="30" t="s">
        <v>113</v>
      </c>
      <c r="O3" s="29"/>
      <c r="P3" s="30" t="s">
        <v>114</v>
      </c>
      <c r="Q3" s="30" t="s">
        <v>115</v>
      </c>
    </row>
    <row r="4" spans="1:18" x14ac:dyDescent="0.25">
      <c r="A4" t="s">
        <v>19</v>
      </c>
      <c r="B4" s="20">
        <v>3.57</v>
      </c>
      <c r="C4" s="20">
        <v>3.33</v>
      </c>
      <c r="D4" s="20">
        <v>3.08</v>
      </c>
      <c r="E4">
        <v>3.08</v>
      </c>
      <c r="F4">
        <v>3.33</v>
      </c>
      <c r="G4">
        <f>SUM(B4:F4)</f>
        <v>16.39</v>
      </c>
      <c r="H4">
        <f>AVERAGE(B4:F4)</f>
        <v>3.278</v>
      </c>
      <c r="J4" s="29" t="s">
        <v>117</v>
      </c>
      <c r="K4" s="29">
        <v>3</v>
      </c>
      <c r="L4" s="29">
        <f>SUM(G15:G18)/5-K8</f>
        <v>0.94724000000005049</v>
      </c>
      <c r="M4" s="31">
        <f>L4/K4</f>
        <v>0.3157466666666835</v>
      </c>
      <c r="N4" s="32">
        <f>M4/M5</f>
        <v>5.2112009682567582</v>
      </c>
      <c r="O4" s="29" t="str">
        <f>IF(N4&lt;=P4,"ns",IF(N4&lt;=Q4,"*","**"))</f>
        <v>**</v>
      </c>
      <c r="P4" s="33">
        <v>3.01</v>
      </c>
      <c r="Q4" s="33">
        <v>4.7699999999999996</v>
      </c>
    </row>
    <row r="5" spans="1:18" x14ac:dyDescent="0.25">
      <c r="A5" t="s">
        <v>32</v>
      </c>
      <c r="B5">
        <v>3.14</v>
      </c>
      <c r="C5">
        <v>3.23</v>
      </c>
      <c r="D5">
        <v>2.89</v>
      </c>
      <c r="E5">
        <v>3.23</v>
      </c>
      <c r="F5">
        <v>2.89</v>
      </c>
      <c r="G5">
        <f t="shared" ref="G5:G8" si="0">SUM(B5:F5)</f>
        <v>15.38</v>
      </c>
      <c r="H5">
        <f t="shared" ref="H5:H9" si="1">AVERAGE(B5:F5)</f>
        <v>3.0760000000000001</v>
      </c>
      <c r="J5" s="29" t="s">
        <v>118</v>
      </c>
      <c r="K5" s="29">
        <f>K6-K4</f>
        <v>16</v>
      </c>
      <c r="L5" s="29">
        <f>L6-L4</f>
        <v>0.96944000000002006</v>
      </c>
      <c r="M5" s="31">
        <f t="shared" ref="M5:M6" si="2">L5/K5</f>
        <v>6.0590000000001254E-2</v>
      </c>
      <c r="N5" s="29"/>
      <c r="O5" s="29"/>
      <c r="Q5" s="29"/>
    </row>
    <row r="6" spans="1:18" x14ac:dyDescent="0.25">
      <c r="A6" t="s">
        <v>33</v>
      </c>
      <c r="B6">
        <v>3.4</v>
      </c>
      <c r="C6">
        <v>2.89</v>
      </c>
      <c r="D6">
        <v>2.5</v>
      </c>
      <c r="E6">
        <v>2.89</v>
      </c>
      <c r="F6">
        <v>2.5</v>
      </c>
      <c r="G6">
        <f t="shared" si="0"/>
        <v>14.18</v>
      </c>
      <c r="H6">
        <f t="shared" si="1"/>
        <v>2.8359999999999999</v>
      </c>
      <c r="J6" s="29" t="s">
        <v>120</v>
      </c>
      <c r="K6" s="29">
        <v>19</v>
      </c>
      <c r="L6" s="29">
        <f>SUM(B15:F18)-K8</f>
        <v>1.9166800000000705</v>
      </c>
      <c r="M6" s="31">
        <f t="shared" si="2"/>
        <v>0.10087789473684582</v>
      </c>
      <c r="N6" s="29"/>
      <c r="O6" s="29"/>
      <c r="P6" s="29"/>
      <c r="Q6" s="29"/>
    </row>
    <row r="7" spans="1:18" x14ac:dyDescent="0.25">
      <c r="A7" t="s">
        <v>23</v>
      </c>
      <c r="B7">
        <v>2.73</v>
      </c>
      <c r="C7">
        <v>2.5299999999999998</v>
      </c>
      <c r="D7">
        <v>2.89</v>
      </c>
      <c r="E7">
        <v>2.5299999999999998</v>
      </c>
      <c r="F7">
        <v>2.89</v>
      </c>
      <c r="G7">
        <f t="shared" si="0"/>
        <v>13.57</v>
      </c>
      <c r="H7">
        <f t="shared" si="1"/>
        <v>2.714</v>
      </c>
    </row>
    <row r="8" spans="1:18" x14ac:dyDescent="0.25">
      <c r="A8" t="s">
        <v>107</v>
      </c>
      <c r="B8">
        <f>SUM(B4:B7)</f>
        <v>12.84</v>
      </c>
      <c r="C8">
        <f t="shared" ref="C8:F8" si="3">SUM(C4:C7)</f>
        <v>11.98</v>
      </c>
      <c r="D8">
        <f t="shared" si="3"/>
        <v>11.360000000000001</v>
      </c>
      <c r="E8">
        <f t="shared" si="3"/>
        <v>11.73</v>
      </c>
      <c r="F8">
        <f t="shared" si="3"/>
        <v>11.610000000000001</v>
      </c>
      <c r="G8">
        <f t="shared" si="0"/>
        <v>59.519999999999996</v>
      </c>
      <c r="J8" s="34" t="s">
        <v>121</v>
      </c>
      <c r="K8">
        <f>G19/20</f>
        <v>177.13151999999997</v>
      </c>
    </row>
    <row r="9" spans="1:18" x14ac:dyDescent="0.25">
      <c r="A9" t="s">
        <v>108</v>
      </c>
      <c r="B9">
        <f>AVERAGE(B4:B7)</f>
        <v>3.21</v>
      </c>
      <c r="C9">
        <f t="shared" ref="C9:F9" si="4">AVERAGE(C4:C7)</f>
        <v>2.9950000000000001</v>
      </c>
      <c r="D9">
        <f t="shared" si="4"/>
        <v>2.8400000000000003</v>
      </c>
      <c r="E9">
        <f t="shared" si="4"/>
        <v>2.9325000000000001</v>
      </c>
      <c r="F9">
        <f t="shared" si="4"/>
        <v>2.9025000000000003</v>
      </c>
      <c r="H9">
        <f t="shared" si="1"/>
        <v>2.976</v>
      </c>
      <c r="K9">
        <v>2.12</v>
      </c>
      <c r="L9" s="34" t="s">
        <v>122</v>
      </c>
      <c r="M9">
        <v>2.9209999999999998</v>
      </c>
    </row>
    <row r="10" spans="1:18" x14ac:dyDescent="0.25">
      <c r="J10" s="34" t="s">
        <v>123</v>
      </c>
      <c r="K10" s="1">
        <f>K9*SQRT((2*M5)/5)</f>
        <v>0.33003981335590754</v>
      </c>
      <c r="M10" s="35">
        <f>M9*SQRT((2*M5)/5)</f>
        <v>0.45473881830783291</v>
      </c>
    </row>
    <row r="12" spans="1:18" x14ac:dyDescent="0.25">
      <c r="K12" t="s">
        <v>19</v>
      </c>
      <c r="L12">
        <v>3.278</v>
      </c>
      <c r="M12" s="36">
        <f>$L$12-L12</f>
        <v>0</v>
      </c>
      <c r="Q12" s="35" t="s">
        <v>125</v>
      </c>
      <c r="R12" t="s">
        <v>125</v>
      </c>
    </row>
    <row r="13" spans="1:18" x14ac:dyDescent="0.25">
      <c r="A13" t="s">
        <v>124</v>
      </c>
      <c r="K13" t="s">
        <v>32</v>
      </c>
      <c r="L13">
        <v>3.0760000000000001</v>
      </c>
      <c r="M13" s="36">
        <f t="shared" ref="M13:M15" si="5">$L$12-L13</f>
        <v>0.20199999999999996</v>
      </c>
      <c r="N13" s="37">
        <f>$L$13-L13</f>
        <v>0</v>
      </c>
      <c r="Q13" s="35" t="s">
        <v>125</v>
      </c>
      <c r="R13" t="s">
        <v>125</v>
      </c>
    </row>
    <row r="14" spans="1:18" x14ac:dyDescent="0.25">
      <c r="A14" t="s">
        <v>101</v>
      </c>
      <c r="B14" t="s">
        <v>102</v>
      </c>
      <c r="C14" t="s">
        <v>103</v>
      </c>
      <c r="D14" t="s">
        <v>104</v>
      </c>
      <c r="E14" t="s">
        <v>105</v>
      </c>
      <c r="F14" t="s">
        <v>106</v>
      </c>
      <c r="G14" t="s">
        <v>107</v>
      </c>
      <c r="H14" t="s">
        <v>108</v>
      </c>
      <c r="K14" t="s">
        <v>33</v>
      </c>
      <c r="L14">
        <v>2.8359999999999999</v>
      </c>
      <c r="M14" s="36">
        <f t="shared" si="5"/>
        <v>0.44200000000000017</v>
      </c>
      <c r="N14" s="37">
        <f t="shared" ref="N14:N15" si="6">$L$13-L14</f>
        <v>0.24000000000000021</v>
      </c>
      <c r="O14" s="37">
        <f>$L$14-L14</f>
        <v>0</v>
      </c>
      <c r="Q14" s="35" t="s">
        <v>126</v>
      </c>
      <c r="R14" t="s">
        <v>125</v>
      </c>
    </row>
    <row r="15" spans="1:18" x14ac:dyDescent="0.25">
      <c r="A15" t="s">
        <v>116</v>
      </c>
      <c r="B15">
        <f>B4^2</f>
        <v>12.744899999999999</v>
      </c>
      <c r="C15">
        <f t="shared" ref="C15:H15" si="7">C4^2</f>
        <v>11.088900000000001</v>
      </c>
      <c r="D15">
        <f t="shared" si="7"/>
        <v>9.4863999999999997</v>
      </c>
      <c r="E15">
        <f t="shared" si="7"/>
        <v>9.4863999999999997</v>
      </c>
      <c r="F15">
        <f t="shared" si="7"/>
        <v>11.088900000000001</v>
      </c>
      <c r="G15">
        <f t="shared" si="7"/>
        <v>268.63210000000004</v>
      </c>
      <c r="H15">
        <f t="shared" si="7"/>
        <v>10.745284</v>
      </c>
      <c r="K15" t="s">
        <v>23</v>
      </c>
      <c r="L15">
        <v>2.714</v>
      </c>
      <c r="M15" s="38">
        <f t="shared" si="5"/>
        <v>0.56400000000000006</v>
      </c>
      <c r="N15">
        <f t="shared" si="6"/>
        <v>0.3620000000000001</v>
      </c>
      <c r="O15">
        <f>$L$14-L15</f>
        <v>0.12199999999999989</v>
      </c>
      <c r="P15" s="37">
        <f>$L$15-L15</f>
        <v>0</v>
      </c>
      <c r="Q15" s="39" t="s">
        <v>126</v>
      </c>
      <c r="R15" t="s">
        <v>126</v>
      </c>
    </row>
    <row r="16" spans="1:18" x14ac:dyDescent="0.25">
      <c r="A16" t="s">
        <v>58</v>
      </c>
      <c r="B16">
        <f t="shared" ref="B16:H20" si="8">B5^2</f>
        <v>9.8596000000000004</v>
      </c>
      <c r="C16">
        <f t="shared" si="8"/>
        <v>10.4329</v>
      </c>
      <c r="D16">
        <f t="shared" si="8"/>
        <v>8.3521000000000001</v>
      </c>
      <c r="E16">
        <f t="shared" si="8"/>
        <v>10.4329</v>
      </c>
      <c r="F16">
        <f t="shared" si="8"/>
        <v>8.3521000000000001</v>
      </c>
      <c r="G16">
        <f t="shared" si="8"/>
        <v>236.54440000000002</v>
      </c>
      <c r="H16">
        <f t="shared" si="8"/>
        <v>9.4617760000000004</v>
      </c>
    </row>
    <row r="17" spans="1:13" x14ac:dyDescent="0.25">
      <c r="A17" t="s">
        <v>119</v>
      </c>
      <c r="B17">
        <f t="shared" si="8"/>
        <v>11.559999999999999</v>
      </c>
      <c r="C17">
        <f t="shared" si="8"/>
        <v>8.3521000000000001</v>
      </c>
      <c r="D17">
        <f t="shared" si="8"/>
        <v>6.25</v>
      </c>
      <c r="E17">
        <f t="shared" si="8"/>
        <v>8.3521000000000001</v>
      </c>
      <c r="F17">
        <f t="shared" si="8"/>
        <v>6.25</v>
      </c>
      <c r="G17">
        <f t="shared" si="8"/>
        <v>201.07239999999999</v>
      </c>
      <c r="H17">
        <f t="shared" si="8"/>
        <v>8.0428959999999989</v>
      </c>
    </row>
    <row r="18" spans="1:13" x14ac:dyDescent="0.25">
      <c r="A18" t="s">
        <v>61</v>
      </c>
      <c r="B18">
        <f t="shared" si="8"/>
        <v>7.4528999999999996</v>
      </c>
      <c r="C18">
        <f t="shared" si="8"/>
        <v>6.4008999999999991</v>
      </c>
      <c r="D18">
        <f t="shared" si="8"/>
        <v>8.3521000000000001</v>
      </c>
      <c r="E18">
        <f t="shared" si="8"/>
        <v>6.4008999999999991</v>
      </c>
      <c r="F18">
        <f t="shared" si="8"/>
        <v>8.3521000000000001</v>
      </c>
      <c r="G18">
        <f t="shared" si="8"/>
        <v>184.14490000000001</v>
      </c>
      <c r="H18">
        <f t="shared" si="8"/>
        <v>7.3657959999999996</v>
      </c>
      <c r="K18" t="s">
        <v>23</v>
      </c>
      <c r="L18">
        <v>2.714</v>
      </c>
      <c r="M18" s="39" t="s">
        <v>126</v>
      </c>
    </row>
    <row r="19" spans="1:13" x14ac:dyDescent="0.25">
      <c r="A19" t="s">
        <v>107</v>
      </c>
      <c r="B19">
        <f t="shared" si="8"/>
        <v>164.8656</v>
      </c>
      <c r="C19">
        <f t="shared" si="8"/>
        <v>143.52040000000002</v>
      </c>
      <c r="D19">
        <f t="shared" si="8"/>
        <v>129.04960000000003</v>
      </c>
      <c r="E19">
        <f t="shared" si="8"/>
        <v>137.59290000000001</v>
      </c>
      <c r="F19">
        <f t="shared" si="8"/>
        <v>134.79210000000003</v>
      </c>
      <c r="G19">
        <f t="shared" si="8"/>
        <v>3542.6303999999996</v>
      </c>
      <c r="K19" t="s">
        <v>33</v>
      </c>
      <c r="L19">
        <v>2.8359999999999999</v>
      </c>
      <c r="M19" s="35" t="s">
        <v>125</v>
      </c>
    </row>
    <row r="20" spans="1:13" x14ac:dyDescent="0.25">
      <c r="A20" t="s">
        <v>108</v>
      </c>
      <c r="B20">
        <f t="shared" si="8"/>
        <v>10.3041</v>
      </c>
      <c r="C20">
        <f t="shared" si="8"/>
        <v>8.9700250000000015</v>
      </c>
      <c r="D20">
        <f t="shared" si="8"/>
        <v>8.0656000000000017</v>
      </c>
      <c r="E20">
        <f t="shared" si="8"/>
        <v>8.5995562500000009</v>
      </c>
      <c r="F20">
        <f t="shared" si="8"/>
        <v>8.4245062500000021</v>
      </c>
      <c r="G20">
        <f t="shared" si="8"/>
        <v>0</v>
      </c>
      <c r="H20">
        <f t="shared" si="8"/>
        <v>8.8565760000000004</v>
      </c>
      <c r="K20" t="s">
        <v>32</v>
      </c>
      <c r="L20">
        <v>3.0760000000000001</v>
      </c>
      <c r="M20" s="35" t="s">
        <v>125</v>
      </c>
    </row>
    <row r="21" spans="1:13" x14ac:dyDescent="0.25">
      <c r="K21" t="s">
        <v>19</v>
      </c>
      <c r="L21">
        <v>3.278</v>
      </c>
      <c r="M21" s="35" t="s">
        <v>125</v>
      </c>
    </row>
  </sheetData>
  <sortState ref="K18:M21">
    <sortCondition ref="L18:L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H19" sqref="H19"/>
    </sheetView>
  </sheetViews>
  <sheetFormatPr defaultRowHeight="15" x14ac:dyDescent="0.25"/>
  <cols>
    <col min="1" max="1" width="23" customWidth="1"/>
    <col min="8" max="8" width="25.28515625" customWidth="1"/>
    <col min="9" max="9" width="14.140625" customWidth="1"/>
    <col min="10" max="10" width="21" customWidth="1"/>
  </cols>
  <sheetData>
    <row r="1" spans="1:13" x14ac:dyDescent="0.25">
      <c r="A1" s="17" t="s">
        <v>98</v>
      </c>
      <c r="B1" s="28" t="s">
        <v>99</v>
      </c>
      <c r="C1" s="28"/>
      <c r="D1" s="28"/>
      <c r="E1" s="28"/>
      <c r="F1" s="28"/>
    </row>
    <row r="2" spans="1:13" ht="15.75" thickBot="1" x14ac:dyDescent="0.3">
      <c r="A2" s="18"/>
      <c r="B2" s="19">
        <v>1</v>
      </c>
      <c r="C2" s="19">
        <v>2</v>
      </c>
      <c r="D2" s="19">
        <v>3</v>
      </c>
      <c r="E2" s="19">
        <v>4</v>
      </c>
      <c r="F2" s="19">
        <v>5</v>
      </c>
    </row>
    <row r="3" spans="1:13" x14ac:dyDescent="0.25">
      <c r="A3" s="11" t="s">
        <v>19</v>
      </c>
      <c r="B3" s="12">
        <v>0</v>
      </c>
      <c r="C3" s="12">
        <v>3</v>
      </c>
      <c r="D3" s="12">
        <v>3.4</v>
      </c>
      <c r="E3" s="12">
        <v>4.4000000000000004</v>
      </c>
      <c r="F3" s="12">
        <v>4.8</v>
      </c>
      <c r="H3" s="16"/>
      <c r="K3" s="26"/>
    </row>
    <row r="4" spans="1:13" ht="15.75" thickBot="1" x14ac:dyDescent="0.3">
      <c r="A4" t="s">
        <v>48</v>
      </c>
      <c r="B4" s="12">
        <v>0</v>
      </c>
      <c r="C4" s="12">
        <v>10</v>
      </c>
      <c r="D4" s="12">
        <v>20</v>
      </c>
      <c r="E4" s="12">
        <v>61.666666666666664</v>
      </c>
      <c r="F4" s="12">
        <v>83.333333333333329</v>
      </c>
      <c r="H4" s="70" t="s">
        <v>149</v>
      </c>
      <c r="I4" s="13" t="s">
        <v>150</v>
      </c>
      <c r="J4" s="13" t="s">
        <v>151</v>
      </c>
      <c r="K4" s="26"/>
    </row>
    <row r="5" spans="1:13" x14ac:dyDescent="0.25">
      <c r="A5" t="s">
        <v>49</v>
      </c>
      <c r="B5" s="12">
        <v>0</v>
      </c>
      <c r="C5" s="12">
        <v>15</v>
      </c>
      <c r="D5" s="12">
        <v>40</v>
      </c>
      <c r="E5" s="12">
        <v>68.333333333333329</v>
      </c>
      <c r="F5" s="12">
        <v>83.333333333333329</v>
      </c>
      <c r="H5" s="11" t="s">
        <v>48</v>
      </c>
      <c r="I5" s="8">
        <v>3.69</v>
      </c>
      <c r="J5" s="21" t="s">
        <v>159</v>
      </c>
      <c r="K5" s="26"/>
    </row>
    <row r="6" spans="1:13" x14ac:dyDescent="0.25">
      <c r="A6" t="s">
        <v>93</v>
      </c>
      <c r="B6" s="12">
        <v>0</v>
      </c>
      <c r="C6" s="12">
        <v>25</v>
      </c>
      <c r="D6" s="12">
        <v>50</v>
      </c>
      <c r="E6" s="12">
        <v>61.666666666666664</v>
      </c>
      <c r="F6" s="12">
        <v>81.666666666666671</v>
      </c>
      <c r="H6" s="11" t="s">
        <v>49</v>
      </c>
      <c r="I6" s="8">
        <v>3.39</v>
      </c>
      <c r="J6" s="21" t="s">
        <v>152</v>
      </c>
      <c r="K6" s="26"/>
    </row>
    <row r="7" spans="1:13" x14ac:dyDescent="0.25">
      <c r="A7" t="s">
        <v>94</v>
      </c>
      <c r="B7" s="12">
        <v>0</v>
      </c>
      <c r="C7" s="12">
        <v>20</v>
      </c>
      <c r="D7" s="12">
        <v>66.666666666666671</v>
      </c>
      <c r="E7" s="12">
        <v>75</v>
      </c>
      <c r="F7" s="12">
        <v>83.333333333333329</v>
      </c>
      <c r="H7" s="11" t="s">
        <v>143</v>
      </c>
      <c r="I7" s="8">
        <v>3.31</v>
      </c>
      <c r="J7" s="21" t="s">
        <v>153</v>
      </c>
      <c r="K7" s="26"/>
    </row>
    <row r="8" spans="1:13" x14ac:dyDescent="0.25">
      <c r="A8" t="s">
        <v>95</v>
      </c>
      <c r="B8" s="12">
        <v>0</v>
      </c>
      <c r="C8" s="12">
        <v>30</v>
      </c>
      <c r="D8" s="12">
        <v>76.666666666666671</v>
      </c>
      <c r="E8" s="12">
        <v>83.333333333333329</v>
      </c>
      <c r="F8" s="12">
        <v>90</v>
      </c>
      <c r="H8" s="11" t="s">
        <v>144</v>
      </c>
      <c r="I8" s="8">
        <v>3.04</v>
      </c>
      <c r="J8" s="21" t="s">
        <v>158</v>
      </c>
      <c r="K8" s="26"/>
    </row>
    <row r="9" spans="1:13" x14ac:dyDescent="0.25">
      <c r="A9" t="s">
        <v>92</v>
      </c>
      <c r="B9" s="12">
        <v>0</v>
      </c>
      <c r="C9" s="12">
        <v>35</v>
      </c>
      <c r="D9" s="12">
        <v>50</v>
      </c>
      <c r="E9" s="12">
        <v>60</v>
      </c>
      <c r="F9" s="12">
        <v>83.333333333333329</v>
      </c>
      <c r="H9" s="11" t="s">
        <v>145</v>
      </c>
      <c r="I9" s="8">
        <v>2.74</v>
      </c>
      <c r="J9" s="21" t="s">
        <v>154</v>
      </c>
      <c r="K9" s="26"/>
    </row>
    <row r="10" spans="1:13" x14ac:dyDescent="0.25">
      <c r="A10" t="s">
        <v>96</v>
      </c>
      <c r="B10" s="12">
        <v>0</v>
      </c>
      <c r="C10" s="12">
        <v>30</v>
      </c>
      <c r="D10" s="12">
        <v>65</v>
      </c>
      <c r="E10" s="12">
        <v>73.333333333333329</v>
      </c>
      <c r="F10" s="12">
        <v>91.666666666666671</v>
      </c>
      <c r="H10" s="11" t="s">
        <v>146</v>
      </c>
      <c r="I10" s="8">
        <v>3.22</v>
      </c>
      <c r="J10" s="21" t="s">
        <v>155</v>
      </c>
      <c r="K10" s="26"/>
      <c r="M10" s="9"/>
    </row>
    <row r="11" spans="1:13" ht="15.75" thickBot="1" x14ac:dyDescent="0.3">
      <c r="A11" s="14" t="s">
        <v>97</v>
      </c>
      <c r="B11" s="15">
        <v>0</v>
      </c>
      <c r="C11" s="15">
        <v>35</v>
      </c>
      <c r="D11" s="15">
        <v>73.333333333333329</v>
      </c>
      <c r="E11" s="15">
        <v>78.333333333333329</v>
      </c>
      <c r="F11" s="15">
        <v>90</v>
      </c>
      <c r="H11" s="11" t="s">
        <v>147</v>
      </c>
      <c r="I11" s="8">
        <v>2.91</v>
      </c>
      <c r="J11" s="21" t="s">
        <v>156</v>
      </c>
      <c r="K11" s="26"/>
      <c r="M11" s="9"/>
    </row>
    <row r="12" spans="1:13" ht="15.75" thickBot="1" x14ac:dyDescent="0.3">
      <c r="H12" s="71" t="s">
        <v>148</v>
      </c>
      <c r="I12" s="24">
        <v>2.76</v>
      </c>
      <c r="J12" s="25" t="s">
        <v>157</v>
      </c>
      <c r="K12" s="26"/>
    </row>
    <row r="13" spans="1:13" ht="15.75" thickBot="1" x14ac:dyDescent="0.3">
      <c r="H13" s="22"/>
      <c r="I13" s="23"/>
      <c r="K13" s="26"/>
    </row>
    <row r="14" spans="1:13" x14ac:dyDescent="0.25">
      <c r="K14" s="26"/>
    </row>
    <row r="15" spans="1:13" x14ac:dyDescent="0.25">
      <c r="K15" s="26"/>
    </row>
    <row r="16" spans="1:13" x14ac:dyDescent="0.25">
      <c r="K16" s="26"/>
    </row>
    <row r="17" spans="11:11" x14ac:dyDescent="0.25">
      <c r="K17" s="26"/>
    </row>
    <row r="18" spans="11:11" x14ac:dyDescent="0.25">
      <c r="K18" s="26"/>
    </row>
    <row r="19" spans="11:11" x14ac:dyDescent="0.25">
      <c r="K19" s="26"/>
    </row>
    <row r="20" spans="11:11" x14ac:dyDescent="0.25">
      <c r="K20" s="26"/>
    </row>
    <row r="21" spans="11:11" x14ac:dyDescent="0.25">
      <c r="K21" s="26"/>
    </row>
    <row r="22" spans="11:11" x14ac:dyDescent="0.25">
      <c r="K22" s="26"/>
    </row>
    <row r="23" spans="11:11" x14ac:dyDescent="0.25">
      <c r="K23" s="26"/>
    </row>
    <row r="24" spans="11:11" x14ac:dyDescent="0.25">
      <c r="K24" s="26"/>
    </row>
    <row r="25" spans="11:11" x14ac:dyDescent="0.25">
      <c r="K25" s="26"/>
    </row>
    <row r="26" spans="11:11" x14ac:dyDescent="0.25">
      <c r="K26" s="26"/>
    </row>
  </sheetData>
  <mergeCells count="9">
    <mergeCell ref="K15:K17"/>
    <mergeCell ref="K18:K20"/>
    <mergeCell ref="K21:K23"/>
    <mergeCell ref="K24:K26"/>
    <mergeCell ref="B1:F1"/>
    <mergeCell ref="K3:K5"/>
    <mergeCell ref="K6:K8"/>
    <mergeCell ref="K9:K11"/>
    <mergeCell ref="K12:K14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G1" sqref="G1"/>
    </sheetView>
  </sheetViews>
  <sheetFormatPr defaultRowHeight="15" x14ac:dyDescent="0.25"/>
  <cols>
    <col min="1" max="1" width="19" customWidth="1"/>
    <col min="2" max="2" width="14.85546875" customWidth="1"/>
    <col min="3" max="3" width="11.42578125" customWidth="1"/>
    <col min="4" max="4" width="10.5703125" customWidth="1"/>
    <col min="6" max="6" width="15.28515625" customWidth="1"/>
    <col min="7" max="7" width="17.28515625" customWidth="1"/>
    <col min="8" max="8" width="8.140625" customWidth="1"/>
    <col min="9" max="10" width="7.5703125" customWidth="1"/>
    <col min="11" max="11" width="12.85546875" customWidth="1"/>
    <col min="13" max="13" width="7.5703125" customWidth="1"/>
    <col min="14" max="14" width="11.140625" customWidth="1"/>
    <col min="15" max="15" width="4.42578125" customWidth="1"/>
  </cols>
  <sheetData>
    <row r="1" spans="1:20" x14ac:dyDescent="0.25">
      <c r="F1" t="s">
        <v>34</v>
      </c>
      <c r="L1" t="s">
        <v>35</v>
      </c>
      <c r="M1" t="s">
        <v>43</v>
      </c>
      <c r="N1" t="s">
        <v>44</v>
      </c>
    </row>
    <row r="2" spans="1:20" x14ac:dyDescent="0.25">
      <c r="A2" s="5" t="s">
        <v>19</v>
      </c>
      <c r="F2" t="s">
        <v>19</v>
      </c>
      <c r="G2" s="20">
        <v>3.57</v>
      </c>
      <c r="H2" s="20">
        <v>3.33</v>
      </c>
      <c r="I2" s="20">
        <v>3.08</v>
      </c>
      <c r="J2">
        <v>3.08</v>
      </c>
      <c r="K2">
        <v>3.33</v>
      </c>
      <c r="L2">
        <f>AVERAGE(G2:K2)</f>
        <v>3.278</v>
      </c>
    </row>
    <row r="3" spans="1:20" x14ac:dyDescent="0.25">
      <c r="A3" t="s">
        <v>0</v>
      </c>
      <c r="B3" t="s">
        <v>16</v>
      </c>
      <c r="C3" t="s">
        <v>17</v>
      </c>
      <c r="D3" t="s">
        <v>18</v>
      </c>
      <c r="F3" t="s">
        <v>32</v>
      </c>
      <c r="G3">
        <v>3.14</v>
      </c>
      <c r="H3">
        <v>3.23</v>
      </c>
      <c r="I3">
        <v>2.89</v>
      </c>
      <c r="J3">
        <v>3.23</v>
      </c>
      <c r="K3">
        <v>2.89</v>
      </c>
      <c r="L3">
        <f t="shared" ref="L3:L5" si="0">AVERAGE(G3:K3)</f>
        <v>3.0760000000000001</v>
      </c>
      <c r="M3" s="7">
        <f>(L2-L3)/L2</f>
        <v>6.1622940817571678E-2</v>
      </c>
      <c r="N3" s="7">
        <f>1-M3</f>
        <v>0.93837705918242831</v>
      </c>
    </row>
    <row r="4" spans="1:20" x14ac:dyDescent="0.25">
      <c r="A4">
        <v>1</v>
      </c>
      <c r="B4">
        <v>146</v>
      </c>
      <c r="C4">
        <v>117</v>
      </c>
      <c r="D4">
        <v>119</v>
      </c>
      <c r="F4" t="s">
        <v>33</v>
      </c>
      <c r="G4">
        <v>3.4</v>
      </c>
      <c r="H4">
        <v>2.89</v>
      </c>
      <c r="I4">
        <v>2.5</v>
      </c>
      <c r="J4">
        <v>2.89</v>
      </c>
      <c r="K4">
        <v>2.5</v>
      </c>
      <c r="L4">
        <f t="shared" si="0"/>
        <v>2.8359999999999999</v>
      </c>
      <c r="M4" s="7">
        <f>(L2-L4)/L2</f>
        <v>0.13483831604636978</v>
      </c>
      <c r="N4" s="7">
        <f t="shared" ref="N4:N5" si="1">1-M4</f>
        <v>0.86516168395363025</v>
      </c>
    </row>
    <row r="5" spans="1:20" x14ac:dyDescent="0.25">
      <c r="A5">
        <v>2</v>
      </c>
      <c r="B5">
        <v>115</v>
      </c>
      <c r="C5">
        <v>132</v>
      </c>
      <c r="D5">
        <v>109</v>
      </c>
      <c r="F5" t="s">
        <v>23</v>
      </c>
      <c r="G5">
        <v>2.73</v>
      </c>
      <c r="H5">
        <v>2.5299999999999998</v>
      </c>
      <c r="I5">
        <v>2.89</v>
      </c>
      <c r="J5">
        <v>2.5299999999999998</v>
      </c>
      <c r="K5">
        <v>2.89</v>
      </c>
      <c r="L5">
        <f t="shared" si="0"/>
        <v>2.714</v>
      </c>
      <c r="M5" s="7">
        <f>(L2-L5)/L2</f>
        <v>0.17205613178767543</v>
      </c>
      <c r="N5" s="7">
        <f t="shared" si="1"/>
        <v>0.82794386821232457</v>
      </c>
    </row>
    <row r="6" spans="1:20" x14ac:dyDescent="0.25">
      <c r="A6">
        <v>3</v>
      </c>
      <c r="B6">
        <v>138</v>
      </c>
      <c r="C6">
        <v>138</v>
      </c>
      <c r="D6">
        <v>127</v>
      </c>
    </row>
    <row r="7" spans="1:20" x14ac:dyDescent="0.25">
      <c r="A7">
        <v>4</v>
      </c>
      <c r="B7">
        <v>162</v>
      </c>
      <c r="C7">
        <v>153</v>
      </c>
      <c r="D7">
        <v>129</v>
      </c>
      <c r="F7" t="s">
        <v>36</v>
      </c>
      <c r="L7" t="s">
        <v>37</v>
      </c>
      <c r="M7" t="s">
        <v>39</v>
      </c>
      <c r="N7" t="s">
        <v>45</v>
      </c>
      <c r="Q7">
        <v>3.4</v>
      </c>
      <c r="R7">
        <v>2.89</v>
      </c>
      <c r="S7">
        <v>2.5</v>
      </c>
      <c r="T7">
        <f>AVERAGE(Q7:S7)</f>
        <v>2.9299999999999997</v>
      </c>
    </row>
    <row r="8" spans="1:20" x14ac:dyDescent="0.25">
      <c r="A8">
        <v>5</v>
      </c>
      <c r="B8">
        <v>153</v>
      </c>
      <c r="C8">
        <v>126</v>
      </c>
      <c r="D8">
        <v>132</v>
      </c>
      <c r="F8" t="s">
        <v>1</v>
      </c>
      <c r="G8">
        <v>7</v>
      </c>
      <c r="H8">
        <v>10.5</v>
      </c>
      <c r="I8">
        <v>8</v>
      </c>
      <c r="J8">
        <v>8</v>
      </c>
      <c r="K8">
        <v>7</v>
      </c>
      <c r="L8">
        <f>AVERAGE(G8:K8)</f>
        <v>8.1</v>
      </c>
    </row>
    <row r="9" spans="1:20" x14ac:dyDescent="0.25">
      <c r="A9" t="s">
        <v>5</v>
      </c>
      <c r="B9">
        <f>SUM(B4:B8)</f>
        <v>714</v>
      </c>
      <c r="C9">
        <f>SUM(C4:C8)</f>
        <v>666</v>
      </c>
      <c r="D9">
        <f>SUM(D4:D8)</f>
        <v>616</v>
      </c>
      <c r="F9" t="s">
        <v>32</v>
      </c>
      <c r="G9">
        <v>7</v>
      </c>
      <c r="H9">
        <v>8</v>
      </c>
      <c r="I9">
        <v>4</v>
      </c>
      <c r="J9">
        <v>8</v>
      </c>
      <c r="K9">
        <v>4</v>
      </c>
      <c r="L9">
        <f t="shared" ref="L9:L11" si="2">AVERAGE(G9:K9)</f>
        <v>6.2</v>
      </c>
      <c r="M9" s="7">
        <f>(L8-L9)/L8</f>
        <v>0.23456790123456783</v>
      </c>
      <c r="N9" s="7">
        <f>1-M9</f>
        <v>0.76543209876543217</v>
      </c>
    </row>
    <row r="10" spans="1:20" x14ac:dyDescent="0.25">
      <c r="A10" s="26" t="s">
        <v>6</v>
      </c>
      <c r="B10">
        <f>(B9*1/(80*0.25))</f>
        <v>35.700000000000003</v>
      </c>
      <c r="C10">
        <f>(C9*1/(80*0.25))</f>
        <v>33.299999999999997</v>
      </c>
      <c r="D10">
        <f>(D9*1/(80*0.25))</f>
        <v>30.8</v>
      </c>
      <c r="F10" t="s">
        <v>33</v>
      </c>
      <c r="G10">
        <v>5</v>
      </c>
      <c r="H10">
        <v>4</v>
      </c>
      <c r="I10">
        <v>9</v>
      </c>
      <c r="J10">
        <v>7</v>
      </c>
      <c r="K10">
        <v>8</v>
      </c>
      <c r="L10">
        <f t="shared" si="2"/>
        <v>6.6</v>
      </c>
      <c r="M10" s="7">
        <f>(L8-L10)/L8</f>
        <v>0.1851851851851852</v>
      </c>
      <c r="N10" s="7">
        <f t="shared" ref="N10:N11" si="3">1-M10</f>
        <v>0.81481481481481477</v>
      </c>
      <c r="O10" t="s">
        <v>20</v>
      </c>
    </row>
    <row r="11" spans="1:20" x14ac:dyDescent="0.25">
      <c r="A11" s="26"/>
      <c r="B11" s="4" t="s">
        <v>24</v>
      </c>
      <c r="C11" s="4" t="s">
        <v>25</v>
      </c>
      <c r="D11" s="4" t="s">
        <v>26</v>
      </c>
      <c r="F11" t="s">
        <v>23</v>
      </c>
      <c r="G11">
        <v>3</v>
      </c>
      <c r="H11">
        <v>3</v>
      </c>
      <c r="I11">
        <v>8</v>
      </c>
      <c r="J11">
        <v>5</v>
      </c>
      <c r="K11">
        <v>6</v>
      </c>
      <c r="L11">
        <f t="shared" si="2"/>
        <v>5</v>
      </c>
      <c r="M11" s="7">
        <f>(L8-L11)/L8</f>
        <v>0.38271604938271603</v>
      </c>
      <c r="N11" s="7">
        <f t="shared" si="3"/>
        <v>0.61728395061728403</v>
      </c>
      <c r="P11" t="s">
        <v>20</v>
      </c>
    </row>
    <row r="12" spans="1:20" x14ac:dyDescent="0.25">
      <c r="A12" s="3"/>
      <c r="B12" s="4"/>
      <c r="C12" s="4"/>
      <c r="D12" s="4"/>
      <c r="H12" t="s">
        <v>20</v>
      </c>
    </row>
    <row r="13" spans="1:20" x14ac:dyDescent="0.25">
      <c r="A13" t="s">
        <v>21</v>
      </c>
      <c r="F13" t="s">
        <v>38</v>
      </c>
    </row>
    <row r="14" spans="1:20" x14ac:dyDescent="0.25">
      <c r="A14" t="s">
        <v>0</v>
      </c>
      <c r="B14" t="s">
        <v>16</v>
      </c>
      <c r="C14" t="s">
        <v>17</v>
      </c>
      <c r="D14" t="s">
        <v>18</v>
      </c>
      <c r="F14" t="s">
        <v>32</v>
      </c>
      <c r="G14">
        <f>((20*N9)+(80*N3))</f>
        <v>90.378806709902918</v>
      </c>
      <c r="H14" t="str">
        <f>IF(G14&lt;=30,"***",IF(G14&lt;=45,"**",IF(G14&lt;=60,"*",IF(G14&gt;60,"NT"))))</f>
        <v>NT</v>
      </c>
    </row>
    <row r="15" spans="1:20" x14ac:dyDescent="0.25">
      <c r="A15">
        <v>1</v>
      </c>
      <c r="B15">
        <v>158</v>
      </c>
      <c r="C15">
        <v>128</v>
      </c>
      <c r="D15">
        <v>108</v>
      </c>
      <c r="E15" t="s">
        <v>20</v>
      </c>
      <c r="F15" t="s">
        <v>33</v>
      </c>
      <c r="G15">
        <f>((20*N10)+(80*N4))</f>
        <v>85.50923101258671</v>
      </c>
      <c r="H15" t="str">
        <f>IF(G15&lt;=30,"***",IF(G15&lt;=45,"**",IF(G15&lt;=60,"*",IF(G15&gt;60,"NT"))))</f>
        <v>NT</v>
      </c>
    </row>
    <row r="16" spans="1:20" x14ac:dyDescent="0.25">
      <c r="A16">
        <v>2</v>
      </c>
      <c r="B16">
        <v>122</v>
      </c>
      <c r="C16">
        <v>104</v>
      </c>
      <c r="D16">
        <v>105</v>
      </c>
      <c r="F16" t="s">
        <v>23</v>
      </c>
      <c r="G16">
        <f>(20*N11)+(80*N5)</f>
        <v>78.58118846933165</v>
      </c>
      <c r="H16" t="str">
        <f>IF(G16&lt;=30,"***",IF(G16&lt;=45,"**",IF(G16&lt;=60,"*",IF(G16&gt;60,"NT"))))</f>
        <v>NT</v>
      </c>
    </row>
    <row r="17" spans="1:6" x14ac:dyDescent="0.25">
      <c r="A17">
        <v>3</v>
      </c>
      <c r="B17">
        <v>181</v>
      </c>
      <c r="C17">
        <v>155</v>
      </c>
      <c r="D17">
        <v>90</v>
      </c>
    </row>
    <row r="18" spans="1:6" x14ac:dyDescent="0.25">
      <c r="A18">
        <v>4</v>
      </c>
      <c r="B18">
        <v>112</v>
      </c>
      <c r="C18">
        <v>101</v>
      </c>
      <c r="D18">
        <v>85</v>
      </c>
      <c r="F18" t="s">
        <v>40</v>
      </c>
    </row>
    <row r="19" spans="1:6" x14ac:dyDescent="0.25">
      <c r="A19">
        <v>5</v>
      </c>
      <c r="B19">
        <v>107</v>
      </c>
      <c r="C19">
        <v>90</v>
      </c>
      <c r="D19">
        <v>111</v>
      </c>
      <c r="F19" t="s">
        <v>41</v>
      </c>
    </row>
    <row r="20" spans="1:6" x14ac:dyDescent="0.25">
      <c r="A20" t="s">
        <v>5</v>
      </c>
      <c r="B20">
        <f>SUM(B15:B19)</f>
        <v>680</v>
      </c>
      <c r="C20">
        <f>SUM(C15:C19)</f>
        <v>578</v>
      </c>
      <c r="D20">
        <f>SUM(D15:D19)</f>
        <v>499</v>
      </c>
      <c r="F20" t="s">
        <v>42</v>
      </c>
    </row>
    <row r="21" spans="1:6" x14ac:dyDescent="0.25">
      <c r="A21" t="s">
        <v>6</v>
      </c>
      <c r="B21">
        <f>(B20*1/(80*0.25))</f>
        <v>34</v>
      </c>
      <c r="C21">
        <f>(C20*1/(80*0.25))</f>
        <v>28.9</v>
      </c>
      <c r="D21">
        <f>(D20*1/(80*0.25))</f>
        <v>24.95</v>
      </c>
    </row>
    <row r="22" spans="1:6" x14ac:dyDescent="0.25">
      <c r="B22" t="s">
        <v>27</v>
      </c>
      <c r="C22" t="s">
        <v>28</v>
      </c>
      <c r="D22" t="s">
        <v>29</v>
      </c>
    </row>
    <row r="24" spans="1:6" x14ac:dyDescent="0.25">
      <c r="A24" s="6" t="s">
        <v>22</v>
      </c>
    </row>
    <row r="25" spans="1:6" x14ac:dyDescent="0.25">
      <c r="A25" t="s">
        <v>9</v>
      </c>
      <c r="B25" t="s">
        <v>16</v>
      </c>
      <c r="C25" t="s">
        <v>17</v>
      </c>
      <c r="D25" t="s">
        <v>18</v>
      </c>
    </row>
    <row r="26" spans="1:6" x14ac:dyDescent="0.25">
      <c r="A26">
        <v>1</v>
      </c>
      <c r="B26">
        <v>145</v>
      </c>
      <c r="C26">
        <v>126</v>
      </c>
      <c r="D26">
        <v>145</v>
      </c>
    </row>
    <row r="27" spans="1:6" x14ac:dyDescent="0.25">
      <c r="A27">
        <v>2</v>
      </c>
      <c r="B27">
        <v>136</v>
      </c>
      <c r="C27">
        <v>143</v>
      </c>
      <c r="D27">
        <v>127</v>
      </c>
    </row>
    <row r="28" spans="1:6" x14ac:dyDescent="0.25">
      <c r="A28">
        <v>3</v>
      </c>
      <c r="B28">
        <v>128</v>
      </c>
      <c r="C28">
        <v>137</v>
      </c>
      <c r="D28">
        <v>131</v>
      </c>
    </row>
    <row r="29" spans="1:6" x14ac:dyDescent="0.25">
      <c r="A29">
        <v>4</v>
      </c>
      <c r="B29">
        <v>116</v>
      </c>
      <c r="C29">
        <v>148</v>
      </c>
      <c r="D29">
        <v>114</v>
      </c>
    </row>
    <row r="30" spans="1:6" x14ac:dyDescent="0.25">
      <c r="A30">
        <v>5</v>
      </c>
      <c r="B30">
        <v>102</v>
      </c>
      <c r="C30">
        <v>97</v>
      </c>
      <c r="D30">
        <v>92</v>
      </c>
    </row>
    <row r="31" spans="1:6" x14ac:dyDescent="0.25">
      <c r="A31" t="s">
        <v>5</v>
      </c>
      <c r="B31">
        <f>SUM(B26:B30)</f>
        <v>627</v>
      </c>
      <c r="C31">
        <f>SUM(C26:C30)</f>
        <v>651</v>
      </c>
      <c r="D31">
        <f>SUM(D26:D30)</f>
        <v>609</v>
      </c>
    </row>
    <row r="32" spans="1:6" x14ac:dyDescent="0.25">
      <c r="A32" t="s">
        <v>6</v>
      </c>
      <c r="B32">
        <f>(B31*1/(80*0.25))</f>
        <v>31.35</v>
      </c>
      <c r="C32">
        <f>(C31*1/(80*0.25))</f>
        <v>32.549999999999997</v>
      </c>
      <c r="D32">
        <f>(D31*1/(80*0.25))</f>
        <v>30.45</v>
      </c>
    </row>
    <row r="33" spans="1:4" x14ac:dyDescent="0.25">
      <c r="B33">
        <v>3.14</v>
      </c>
      <c r="C33">
        <v>3.23</v>
      </c>
      <c r="D33">
        <v>2.89</v>
      </c>
    </row>
    <row r="35" spans="1:4" x14ac:dyDescent="0.25">
      <c r="A35" t="s">
        <v>23</v>
      </c>
    </row>
    <row r="36" spans="1:4" x14ac:dyDescent="0.25">
      <c r="A36" t="s">
        <v>9</v>
      </c>
      <c r="B36" t="s">
        <v>16</v>
      </c>
      <c r="C36" t="s">
        <v>17</v>
      </c>
      <c r="D36" t="s">
        <v>18</v>
      </c>
    </row>
    <row r="37" spans="1:4" x14ac:dyDescent="0.25">
      <c r="A37">
        <v>1</v>
      </c>
      <c r="B37">
        <v>106</v>
      </c>
      <c r="C37">
        <v>98</v>
      </c>
      <c r="D37">
        <v>118</v>
      </c>
    </row>
    <row r="38" spans="1:4" x14ac:dyDescent="0.25">
      <c r="A38">
        <v>2</v>
      </c>
      <c r="B38">
        <v>95</v>
      </c>
      <c r="C38">
        <v>76</v>
      </c>
      <c r="D38">
        <v>124</v>
      </c>
    </row>
    <row r="39" spans="1:4" x14ac:dyDescent="0.25">
      <c r="A39">
        <v>3</v>
      </c>
      <c r="B39">
        <v>117</v>
      </c>
      <c r="C39">
        <v>105</v>
      </c>
      <c r="D39">
        <v>132</v>
      </c>
    </row>
    <row r="40" spans="1:4" x14ac:dyDescent="0.25">
      <c r="A40">
        <v>4</v>
      </c>
      <c r="B40">
        <v>123</v>
      </c>
      <c r="C40">
        <v>119</v>
      </c>
      <c r="D40">
        <v>106</v>
      </c>
    </row>
    <row r="41" spans="1:4" x14ac:dyDescent="0.25">
      <c r="A41">
        <v>5</v>
      </c>
      <c r="B41">
        <v>104</v>
      </c>
      <c r="C41">
        <v>108</v>
      </c>
      <c r="D41">
        <v>98</v>
      </c>
    </row>
    <row r="42" spans="1:4" x14ac:dyDescent="0.25">
      <c r="A42" t="s">
        <v>5</v>
      </c>
      <c r="B42">
        <f>SUM(B37:B41)</f>
        <v>545</v>
      </c>
      <c r="C42">
        <f>SUM(C37:C41)</f>
        <v>506</v>
      </c>
      <c r="D42">
        <f>SUM(D37:D41)</f>
        <v>578</v>
      </c>
    </row>
    <row r="43" spans="1:4" x14ac:dyDescent="0.25">
      <c r="A43" t="s">
        <v>6</v>
      </c>
      <c r="B43">
        <f>(B42*1/(80*0.25))</f>
        <v>27.25</v>
      </c>
      <c r="C43">
        <f>(C42*1/(80*0.25))</f>
        <v>25.3</v>
      </c>
      <c r="D43">
        <f>(D42*1/(80*0.25))</f>
        <v>28.9</v>
      </c>
    </row>
    <row r="44" spans="1:4" x14ac:dyDescent="0.25">
      <c r="B44" t="s">
        <v>30</v>
      </c>
      <c r="C44" t="s">
        <v>31</v>
      </c>
      <c r="D44" t="s">
        <v>28</v>
      </c>
    </row>
  </sheetData>
  <mergeCells count="1">
    <mergeCell ref="A10:A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16" sqref="F16"/>
    </sheetView>
  </sheetViews>
  <sheetFormatPr defaultRowHeight="15" x14ac:dyDescent="0.25"/>
  <cols>
    <col min="1" max="1" width="16.140625" customWidth="1"/>
    <col min="2" max="2" width="10.85546875" customWidth="1"/>
    <col min="3" max="3" width="8.85546875" customWidth="1"/>
    <col min="4" max="4" width="11.5703125" customWidth="1"/>
    <col min="5" max="5" width="10.42578125" customWidth="1"/>
    <col min="6" max="6" width="7.140625" customWidth="1"/>
    <col min="7" max="7" width="19.5703125" customWidth="1"/>
    <col min="8" max="8" width="23.140625" customWidth="1"/>
    <col min="9" max="9" width="12.5703125" customWidth="1"/>
    <col min="10" max="10" width="13.5703125" customWidth="1"/>
  </cols>
  <sheetData>
    <row r="1" spans="1:14" ht="47.25" customHeight="1" thickBot="1" x14ac:dyDescent="0.3">
      <c r="A1" s="50" t="s">
        <v>136</v>
      </c>
      <c r="B1" s="51" t="s">
        <v>128</v>
      </c>
      <c r="C1" s="51"/>
      <c r="D1" s="52" t="s">
        <v>130</v>
      </c>
      <c r="E1" s="51" t="s">
        <v>129</v>
      </c>
      <c r="F1" s="51"/>
      <c r="G1" s="53" t="s">
        <v>131</v>
      </c>
      <c r="H1" s="50" t="s">
        <v>136</v>
      </c>
      <c r="I1" s="53" t="s">
        <v>140</v>
      </c>
      <c r="J1" s="53" t="s">
        <v>141</v>
      </c>
    </row>
    <row r="2" spans="1:14" ht="15.75" x14ac:dyDescent="0.25">
      <c r="A2" s="40" t="s">
        <v>132</v>
      </c>
      <c r="B2" s="41">
        <v>3.278</v>
      </c>
      <c r="C2" s="42" t="s">
        <v>125</v>
      </c>
      <c r="D2" s="43" t="s">
        <v>100</v>
      </c>
      <c r="E2" s="44">
        <v>8.1</v>
      </c>
      <c r="F2" s="45" t="s">
        <v>125</v>
      </c>
      <c r="G2" s="65" t="s">
        <v>100</v>
      </c>
      <c r="H2" s="40" t="s">
        <v>137</v>
      </c>
      <c r="I2" s="61">
        <v>90.378806709902918</v>
      </c>
      <c r="J2" s="62" t="s">
        <v>142</v>
      </c>
    </row>
    <row r="3" spans="1:14" ht="15.75" x14ac:dyDescent="0.25">
      <c r="A3" s="40" t="s">
        <v>133</v>
      </c>
      <c r="B3" s="41">
        <v>3.0760000000000001</v>
      </c>
      <c r="C3" s="42" t="s">
        <v>125</v>
      </c>
      <c r="D3" s="68">
        <f>(B2-B3)/B2</f>
        <v>6.1622940817571678E-2</v>
      </c>
      <c r="E3" s="44">
        <v>6.6</v>
      </c>
      <c r="F3" s="46" t="s">
        <v>125</v>
      </c>
      <c r="G3" s="66">
        <f>(E2-E3)/E2</f>
        <v>0.1851851851851852</v>
      </c>
      <c r="H3" s="40" t="s">
        <v>138</v>
      </c>
      <c r="I3" s="61">
        <v>85.50923101258671</v>
      </c>
      <c r="J3" s="62" t="s">
        <v>142</v>
      </c>
    </row>
    <row r="4" spans="1:14" ht="16.5" thickBot="1" x14ac:dyDescent="0.3">
      <c r="A4" s="40" t="s">
        <v>134</v>
      </c>
      <c r="B4" s="41">
        <v>2.8359999999999999</v>
      </c>
      <c r="C4" s="42" t="s">
        <v>125</v>
      </c>
      <c r="D4" s="68">
        <f>(B2-B4)/B2</f>
        <v>0.13483831604636978</v>
      </c>
      <c r="E4" s="44">
        <v>6.2</v>
      </c>
      <c r="F4" s="46" t="s">
        <v>125</v>
      </c>
      <c r="G4" s="66">
        <f>(E2-E4)/E2</f>
        <v>0.23456790123456783</v>
      </c>
      <c r="H4" s="47" t="s">
        <v>139</v>
      </c>
      <c r="I4" s="63">
        <v>78.58118846933165</v>
      </c>
      <c r="J4" s="64" t="s">
        <v>142</v>
      </c>
    </row>
    <row r="5" spans="1:14" ht="16.5" thickBot="1" x14ac:dyDescent="0.3">
      <c r="A5" s="47" t="s">
        <v>135</v>
      </c>
      <c r="B5" s="48">
        <v>2.714</v>
      </c>
      <c r="C5" s="54" t="s">
        <v>126</v>
      </c>
      <c r="D5" s="69">
        <f>(B2-B5)/B2</f>
        <v>0.17205613178767543</v>
      </c>
      <c r="E5" s="55">
        <v>5</v>
      </c>
      <c r="F5" s="49" t="s">
        <v>127</v>
      </c>
      <c r="G5" s="67">
        <f>(E2-E5)/E2</f>
        <v>0.38271604938271603</v>
      </c>
    </row>
    <row r="11" spans="1:14" x14ac:dyDescent="0.25">
      <c r="K11" s="59"/>
      <c r="L11" s="59"/>
      <c r="M11" s="60"/>
      <c r="N11" s="60"/>
    </row>
    <row r="12" spans="1:14" x14ac:dyDescent="0.25">
      <c r="K12" s="33"/>
      <c r="L12" s="56"/>
      <c r="M12" s="57"/>
      <c r="N12" s="57"/>
    </row>
    <row r="13" spans="1:14" x14ac:dyDescent="0.25">
      <c r="K13" s="33"/>
      <c r="L13" s="58"/>
      <c r="M13" s="33"/>
      <c r="N13" s="33"/>
    </row>
    <row r="14" spans="1:14" x14ac:dyDescent="0.25">
      <c r="K14" s="33"/>
      <c r="L14" s="58"/>
      <c r="M14" s="33"/>
      <c r="N14" s="33"/>
    </row>
    <row r="15" spans="1:14" x14ac:dyDescent="0.25">
      <c r="K15" s="33"/>
      <c r="L15" s="58"/>
      <c r="M15" s="33"/>
      <c r="N15" s="33"/>
    </row>
  </sheetData>
  <mergeCells count="4">
    <mergeCell ref="M11:N11"/>
    <mergeCell ref="M12:N12"/>
    <mergeCell ref="B1:C1"/>
    <mergeCell ref="E1:F1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zoomScale="115" zoomScaleNormal="115" workbookViewId="0">
      <selection activeCell="G1" sqref="G1"/>
    </sheetView>
  </sheetViews>
  <sheetFormatPr defaultRowHeight="15" x14ac:dyDescent="0.25"/>
  <cols>
    <col min="1" max="1" width="13.42578125" customWidth="1"/>
    <col min="11" max="11" width="11.28515625" customWidth="1"/>
  </cols>
  <sheetData>
    <row r="3" spans="1:17" x14ac:dyDescent="0.25">
      <c r="A3" t="s">
        <v>101</v>
      </c>
      <c r="B3" t="s">
        <v>102</v>
      </c>
      <c r="C3" t="s">
        <v>103</v>
      </c>
      <c r="D3" t="s">
        <v>104</v>
      </c>
      <c r="E3" t="s">
        <v>105</v>
      </c>
      <c r="F3" t="s">
        <v>106</v>
      </c>
      <c r="G3" t="s">
        <v>107</v>
      </c>
      <c r="H3" t="s">
        <v>108</v>
      </c>
      <c r="J3" s="29" t="s">
        <v>109</v>
      </c>
      <c r="K3" s="30" t="s">
        <v>110</v>
      </c>
      <c r="L3" s="30" t="s">
        <v>111</v>
      </c>
      <c r="M3" s="30" t="s">
        <v>112</v>
      </c>
      <c r="N3" s="30" t="s">
        <v>113</v>
      </c>
      <c r="O3" s="29"/>
      <c r="P3" s="30" t="s">
        <v>114</v>
      </c>
      <c r="Q3" s="30" t="s">
        <v>115</v>
      </c>
    </row>
    <row r="4" spans="1:17" x14ac:dyDescent="0.25">
      <c r="A4" t="s">
        <v>1</v>
      </c>
      <c r="B4">
        <v>7</v>
      </c>
      <c r="C4">
        <v>10.5</v>
      </c>
      <c r="D4">
        <v>8</v>
      </c>
      <c r="E4">
        <v>8</v>
      </c>
      <c r="F4">
        <v>7</v>
      </c>
      <c r="G4">
        <f>SUM(B4:F4)</f>
        <v>40.5</v>
      </c>
      <c r="H4">
        <f>AVERAGE(B4:F4)</f>
        <v>8.1</v>
      </c>
      <c r="J4" s="29" t="s">
        <v>117</v>
      </c>
      <c r="K4" s="29">
        <v>3</v>
      </c>
      <c r="L4" s="29">
        <f>SUM(G15:G18)/5-K8</f>
        <v>24.537499999999909</v>
      </c>
      <c r="M4" s="31">
        <f>L4/K4</f>
        <v>8.1791666666666369</v>
      </c>
      <c r="N4" s="32">
        <f>M4/M5</f>
        <v>2.173864894795118</v>
      </c>
      <c r="O4" s="29" t="str">
        <f>IF(N4&lt;=P4,"ns",IF(N4&lt;=Q4,"*","**"))</f>
        <v>ns</v>
      </c>
      <c r="P4" s="33">
        <v>3.01</v>
      </c>
      <c r="Q4" s="33">
        <v>4.7699999999999996</v>
      </c>
    </row>
    <row r="5" spans="1:17" x14ac:dyDescent="0.25">
      <c r="A5" t="s">
        <v>32</v>
      </c>
      <c r="B5">
        <v>7</v>
      </c>
      <c r="C5">
        <v>8</v>
      </c>
      <c r="D5">
        <v>4</v>
      </c>
      <c r="E5">
        <v>8</v>
      </c>
      <c r="F5">
        <v>4</v>
      </c>
      <c r="G5">
        <f t="shared" ref="G5:G8" si="0">SUM(B5:F5)</f>
        <v>31</v>
      </c>
      <c r="H5">
        <f t="shared" ref="H5:H9" si="1">AVERAGE(B5:F5)</f>
        <v>6.2</v>
      </c>
      <c r="J5" s="29" t="s">
        <v>118</v>
      </c>
      <c r="K5" s="29">
        <f>K6-K4</f>
        <v>16</v>
      </c>
      <c r="L5" s="29">
        <f>L6-L4</f>
        <v>60.200000000000045</v>
      </c>
      <c r="M5" s="31">
        <f t="shared" ref="M5:M6" si="2">L5/K5</f>
        <v>3.7625000000000028</v>
      </c>
      <c r="N5" s="29"/>
      <c r="O5" s="29"/>
      <c r="Q5" s="29"/>
    </row>
    <row r="6" spans="1:17" x14ac:dyDescent="0.25">
      <c r="A6" t="s">
        <v>33</v>
      </c>
      <c r="B6">
        <v>5</v>
      </c>
      <c r="C6">
        <v>4</v>
      </c>
      <c r="D6">
        <v>9</v>
      </c>
      <c r="E6">
        <v>7</v>
      </c>
      <c r="F6">
        <v>8</v>
      </c>
      <c r="G6">
        <f t="shared" si="0"/>
        <v>33</v>
      </c>
      <c r="H6">
        <f t="shared" si="1"/>
        <v>6.6</v>
      </c>
      <c r="J6" s="29" t="s">
        <v>120</v>
      </c>
      <c r="K6" s="29">
        <v>19</v>
      </c>
      <c r="L6" s="29">
        <f>SUM(B15:F18)-K8</f>
        <v>84.737499999999955</v>
      </c>
      <c r="M6" s="31">
        <f t="shared" si="2"/>
        <v>4.4598684210526294</v>
      </c>
      <c r="N6" s="29"/>
      <c r="O6" s="29"/>
      <c r="P6" s="29"/>
      <c r="Q6" s="29"/>
    </row>
    <row r="7" spans="1:17" x14ac:dyDescent="0.25">
      <c r="A7" t="s">
        <v>23</v>
      </c>
      <c r="B7">
        <v>3</v>
      </c>
      <c r="C7">
        <v>3</v>
      </c>
      <c r="D7">
        <v>8</v>
      </c>
      <c r="E7">
        <v>5</v>
      </c>
      <c r="F7">
        <v>6</v>
      </c>
      <c r="G7">
        <f t="shared" si="0"/>
        <v>25</v>
      </c>
      <c r="H7">
        <f t="shared" si="1"/>
        <v>5</v>
      </c>
    </row>
    <row r="8" spans="1:17" x14ac:dyDescent="0.25">
      <c r="A8" t="s">
        <v>107</v>
      </c>
      <c r="B8">
        <f>SUM(B4:B7)</f>
        <v>22</v>
      </c>
      <c r="C8">
        <f t="shared" ref="C8:F8" si="3">SUM(C4:C7)</f>
        <v>25.5</v>
      </c>
      <c r="D8">
        <f t="shared" si="3"/>
        <v>29</v>
      </c>
      <c r="E8">
        <f t="shared" si="3"/>
        <v>28</v>
      </c>
      <c r="F8">
        <f t="shared" si="3"/>
        <v>25</v>
      </c>
      <c r="G8">
        <f t="shared" si="0"/>
        <v>129.5</v>
      </c>
      <c r="J8" s="34" t="s">
        <v>121</v>
      </c>
      <c r="K8">
        <f>G19/20</f>
        <v>838.51250000000005</v>
      </c>
    </row>
    <row r="9" spans="1:17" x14ac:dyDescent="0.25">
      <c r="A9" t="s">
        <v>108</v>
      </c>
      <c r="B9">
        <f>AVERAGE(B4:B7)</f>
        <v>5.5</v>
      </c>
      <c r="C9">
        <f t="shared" ref="C9:F9" si="4">AVERAGE(C4:C7)</f>
        <v>6.375</v>
      </c>
      <c r="D9">
        <f t="shared" si="4"/>
        <v>7.25</v>
      </c>
      <c r="E9">
        <f t="shared" si="4"/>
        <v>7</v>
      </c>
      <c r="F9">
        <f t="shared" si="4"/>
        <v>6.25</v>
      </c>
      <c r="H9">
        <f t="shared" si="1"/>
        <v>6.4749999999999996</v>
      </c>
      <c r="K9">
        <v>2.12</v>
      </c>
      <c r="L9" s="34" t="s">
        <v>122</v>
      </c>
      <c r="M9">
        <v>2.9209999999999998</v>
      </c>
    </row>
    <row r="10" spans="1:17" x14ac:dyDescent="0.25">
      <c r="J10" s="34" t="s">
        <v>123</v>
      </c>
      <c r="K10" s="1">
        <f>K9*SQRT((2*M5)/5)</f>
        <v>2.6007829590336842</v>
      </c>
      <c r="M10" s="35">
        <f>M9*SQRT((2*M5)/5)</f>
        <v>3.5834372751591466</v>
      </c>
    </row>
    <row r="12" spans="1:17" x14ac:dyDescent="0.25">
      <c r="K12" t="s">
        <v>1</v>
      </c>
      <c r="L12" s="10">
        <v>8.1</v>
      </c>
      <c r="M12" s="36">
        <f>$L$12-L12</f>
        <v>0</v>
      </c>
      <c r="Q12" s="35" t="s">
        <v>125</v>
      </c>
    </row>
    <row r="13" spans="1:17" x14ac:dyDescent="0.25">
      <c r="A13" t="s">
        <v>124</v>
      </c>
      <c r="K13" t="s">
        <v>33</v>
      </c>
      <c r="L13" s="10">
        <v>6.6</v>
      </c>
      <c r="M13" s="36">
        <f t="shared" ref="M13:M15" si="5">$L$12-L13</f>
        <v>1.5</v>
      </c>
      <c r="N13" s="37">
        <f>$L$13-L13</f>
        <v>0</v>
      </c>
      <c r="Q13" s="35" t="s">
        <v>125</v>
      </c>
    </row>
    <row r="14" spans="1:17" x14ac:dyDescent="0.25">
      <c r="A14" t="s">
        <v>101</v>
      </c>
      <c r="B14" t="s">
        <v>102</v>
      </c>
      <c r="C14" t="s">
        <v>103</v>
      </c>
      <c r="D14" t="s">
        <v>104</v>
      </c>
      <c r="E14" t="s">
        <v>105</v>
      </c>
      <c r="F14" t="s">
        <v>106</v>
      </c>
      <c r="G14" t="s">
        <v>107</v>
      </c>
      <c r="H14" t="s">
        <v>108</v>
      </c>
      <c r="K14" t="s">
        <v>32</v>
      </c>
      <c r="L14" s="10">
        <v>6.2</v>
      </c>
      <c r="M14" s="36">
        <f t="shared" si="5"/>
        <v>1.8999999999999995</v>
      </c>
      <c r="N14" s="37">
        <f t="shared" ref="N14:N15" si="6">$L$13-L14</f>
        <v>0.39999999999999947</v>
      </c>
      <c r="O14" s="37">
        <f>$L$14-L14</f>
        <v>0</v>
      </c>
      <c r="Q14" s="35" t="s">
        <v>125</v>
      </c>
    </row>
    <row r="15" spans="1:17" x14ac:dyDescent="0.25">
      <c r="A15" t="s">
        <v>1</v>
      </c>
      <c r="B15">
        <f>B4^2</f>
        <v>49</v>
      </c>
      <c r="C15">
        <f t="shared" ref="C15:H15" si="7">C4^2</f>
        <v>110.25</v>
      </c>
      <c r="D15">
        <f t="shared" si="7"/>
        <v>64</v>
      </c>
      <c r="E15">
        <f t="shared" si="7"/>
        <v>64</v>
      </c>
      <c r="F15">
        <f t="shared" si="7"/>
        <v>49</v>
      </c>
      <c r="G15">
        <f t="shared" si="7"/>
        <v>1640.25</v>
      </c>
      <c r="H15">
        <f t="shared" si="7"/>
        <v>65.61</v>
      </c>
      <c r="K15" t="s">
        <v>23</v>
      </c>
      <c r="L15" s="10">
        <v>5</v>
      </c>
      <c r="M15" s="38">
        <f t="shared" si="5"/>
        <v>3.0999999999999996</v>
      </c>
      <c r="N15">
        <f t="shared" si="6"/>
        <v>1.5999999999999996</v>
      </c>
      <c r="O15">
        <f>$L$14-L15</f>
        <v>1.2000000000000002</v>
      </c>
      <c r="P15" s="37">
        <f>$L$15-L15</f>
        <v>0</v>
      </c>
      <c r="Q15" s="39" t="s">
        <v>127</v>
      </c>
    </row>
    <row r="16" spans="1:17" x14ac:dyDescent="0.25">
      <c r="A16" t="s">
        <v>32</v>
      </c>
      <c r="B16">
        <f t="shared" ref="B16:H20" si="8">B5^2</f>
        <v>49</v>
      </c>
      <c r="C16">
        <f t="shared" si="8"/>
        <v>64</v>
      </c>
      <c r="D16">
        <f t="shared" si="8"/>
        <v>16</v>
      </c>
      <c r="E16">
        <f t="shared" si="8"/>
        <v>64</v>
      </c>
      <c r="F16">
        <f t="shared" si="8"/>
        <v>16</v>
      </c>
      <c r="G16">
        <f t="shared" si="8"/>
        <v>961</v>
      </c>
      <c r="H16">
        <f t="shared" si="8"/>
        <v>38.440000000000005</v>
      </c>
    </row>
    <row r="17" spans="1:13" x14ac:dyDescent="0.25">
      <c r="A17" t="s">
        <v>33</v>
      </c>
      <c r="B17">
        <f t="shared" si="8"/>
        <v>25</v>
      </c>
      <c r="C17">
        <f t="shared" si="8"/>
        <v>16</v>
      </c>
      <c r="D17">
        <f t="shared" si="8"/>
        <v>81</v>
      </c>
      <c r="E17">
        <f t="shared" si="8"/>
        <v>49</v>
      </c>
      <c r="F17">
        <f t="shared" si="8"/>
        <v>64</v>
      </c>
      <c r="G17">
        <f t="shared" si="8"/>
        <v>1089</v>
      </c>
      <c r="H17">
        <f t="shared" si="8"/>
        <v>43.559999999999995</v>
      </c>
    </row>
    <row r="18" spans="1:13" x14ac:dyDescent="0.25">
      <c r="A18" t="s">
        <v>23</v>
      </c>
      <c r="B18">
        <f t="shared" si="8"/>
        <v>9</v>
      </c>
      <c r="C18">
        <f t="shared" si="8"/>
        <v>9</v>
      </c>
      <c r="D18">
        <f t="shared" si="8"/>
        <v>64</v>
      </c>
      <c r="E18">
        <f t="shared" si="8"/>
        <v>25</v>
      </c>
      <c r="F18">
        <f t="shared" si="8"/>
        <v>36</v>
      </c>
      <c r="G18">
        <f t="shared" si="8"/>
        <v>625</v>
      </c>
      <c r="H18">
        <f t="shared" si="8"/>
        <v>25</v>
      </c>
      <c r="J18">
        <v>1</v>
      </c>
      <c r="K18" t="s">
        <v>1</v>
      </c>
      <c r="L18" s="10">
        <v>8.1</v>
      </c>
      <c r="M18" t="s">
        <v>125</v>
      </c>
    </row>
    <row r="19" spans="1:13" x14ac:dyDescent="0.25">
      <c r="A19" t="s">
        <v>107</v>
      </c>
      <c r="B19">
        <f t="shared" si="8"/>
        <v>484</v>
      </c>
      <c r="C19">
        <f t="shared" si="8"/>
        <v>650.25</v>
      </c>
      <c r="D19">
        <f t="shared" si="8"/>
        <v>841</v>
      </c>
      <c r="E19">
        <f t="shared" si="8"/>
        <v>784</v>
      </c>
      <c r="F19">
        <f t="shared" si="8"/>
        <v>625</v>
      </c>
      <c r="G19">
        <f t="shared" si="8"/>
        <v>16770.25</v>
      </c>
      <c r="J19">
        <v>2</v>
      </c>
      <c r="K19" t="s">
        <v>32</v>
      </c>
      <c r="L19" s="10">
        <v>6.2</v>
      </c>
      <c r="M19" t="s">
        <v>125</v>
      </c>
    </row>
    <row r="20" spans="1:13" x14ac:dyDescent="0.25">
      <c r="A20" t="s">
        <v>108</v>
      </c>
      <c r="B20">
        <f t="shared" si="8"/>
        <v>30.25</v>
      </c>
      <c r="C20">
        <f t="shared" si="8"/>
        <v>40.640625</v>
      </c>
      <c r="D20">
        <f t="shared" si="8"/>
        <v>52.5625</v>
      </c>
      <c r="E20">
        <f t="shared" si="8"/>
        <v>49</v>
      </c>
      <c r="F20">
        <f t="shared" si="8"/>
        <v>39.0625</v>
      </c>
      <c r="G20">
        <f t="shared" si="8"/>
        <v>0</v>
      </c>
      <c r="H20">
        <f t="shared" si="8"/>
        <v>41.925624999999997</v>
      </c>
      <c r="J20">
        <v>3</v>
      </c>
      <c r="K20" t="s">
        <v>33</v>
      </c>
      <c r="L20" s="10">
        <v>6.6</v>
      </c>
      <c r="M20" t="s">
        <v>125</v>
      </c>
    </row>
    <row r="21" spans="1:13" x14ac:dyDescent="0.25">
      <c r="J21">
        <v>4</v>
      </c>
      <c r="K21" t="s">
        <v>23</v>
      </c>
      <c r="L21" s="10">
        <v>5</v>
      </c>
      <c r="M21" t="s">
        <v>127</v>
      </c>
    </row>
  </sheetData>
  <sortState ref="J18:M21">
    <sortCondition ref="J18:J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RAL</vt:lpstr>
      <vt:lpstr>spora</vt:lpstr>
      <vt:lpstr>Sheet2</vt:lpstr>
      <vt:lpstr>data spora</vt:lpstr>
      <vt:lpstr>Sheet6</vt:lpstr>
      <vt:lpstr>laju pert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</dc:creator>
  <cp:lastModifiedBy>Asus</cp:lastModifiedBy>
  <cp:lastPrinted>2019-01-25T13:29:17Z</cp:lastPrinted>
  <dcterms:created xsi:type="dcterms:W3CDTF">2018-07-18T05:03:16Z</dcterms:created>
  <dcterms:modified xsi:type="dcterms:W3CDTF">2019-01-25T16:39:18Z</dcterms:modified>
</cp:coreProperties>
</file>